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D5138E1D-4D34-4919-8B99-1C7ED8AD3A56}"/>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63" i="43" l="1"/>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E11" i="29" s="1"/>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AK39" i="8" s="1"/>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9" i="8"/>
  <c r="AK28" i="8"/>
  <c r="AK27" i="8"/>
  <c r="AK23"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<sst xmlns="http://schemas.openxmlformats.org/spreadsheetml/2006/main" count="11242" uniqueCount="2200">
  <si>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</si>
  <si>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</si>
  <si>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</si>
  <si>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</si>
  <si>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</si>
  <si>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</si>
  <si>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</si>
  <si>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</si>
  <si>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</si>
  <si>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</si>
  <si>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</si>
  <si>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</si>
  <si>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</si>
  <si>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</si>
  <si>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</si>
  <si>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</si>
  <si>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</si>
  <si>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</si>
  <si>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</si>
  <si>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</si>
  <si>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</si>
  <si>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</si>
  <si>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</si>
  <si>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</si>
  <si>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</si>
  <si>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</si>
  <si>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</si>
  <si>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</si>
  <si>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</si>
  <si>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</si>
  <si>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</si>
  <si>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</si>
  <si>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</si>
  <si>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</si>
  <si>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</si>
  <si>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</si>
  <si>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</si>
  <si>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</si>
  <si>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</si>
  <si>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</si>
  <si>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</si>
  <si>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</si>
  <si>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</si>
  <si>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</si>
  <si>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</si>
  <si>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</si>
  <si>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</si>
  <si>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</si>
  <si>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</si>
  <si>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</si>
  <si>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</si>
  <si>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</si>
  <si>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</si>
  <si>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</si>
  <si>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</si>
  <si>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</si>
  <si>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</si>
  <si>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</si>
  <si>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</si>
  <si>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</si>
  <si>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</si>
  <si>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</si>
  <si>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</si>
  <si>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</si>
  <si>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</si>
  <si>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</si>
  <si>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</si>
  <si>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</si>
  <si>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</si>
  <si>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</si>
  <si>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</si>
  <si>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</si>
  <si>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</si>
  <si>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</si>
  <si>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</si>
  <si>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</si>
  <si>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</si>
  <si>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</si>
  <si>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</si>
  <si>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</si>
  <si>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</si>
  <si>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</si>
  <si>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</si>
  <si>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</si>
  <si>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</si>
  <si>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</si>
  <si>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</si>
  <si>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</si>
  <si>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</si>
  <si>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</si>
  <si>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</si>
  <si>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</si>
  <si>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</si>
  <si>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</si>
  <si>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</si>
  <si>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</si>
  <si>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</si>
  <si>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</si>
  <si>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</si>
  <si>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</si>
  <si>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</si>
  <si>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</si>
  <si>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</si>
  <si>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</si>
  <si>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</si>
  <si>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</si>
  <si>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</si>
  <si>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</si>
  <si>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</si>
  <si>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</si>
  <si>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</si>
  <si>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</si>
  <si>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</si>
  <si>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</si>
  <si>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</si>
  <si>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</si>
  <si>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</si>
  <si>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</si>
  <si>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</si>
  <si>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</si>
  <si>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</si>
  <si>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</si>
  <si>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</si>
  <si>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</si>
  <si>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</si>
  <si>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</si>
  <si>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</si>
  <si>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</si>
  <si>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</si>
  <si>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</si>
  <si>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</si>
  <si>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</si>
  <si>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</si>
  <si>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</si>
  <si>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</si>
  <si>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</si>
  <si>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</si>
  <si>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</si>
  <si>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</si>
  <si>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</si>
  <si>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</si>
  <si>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</si>
  <si>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</si>
  <si>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</si>
  <si>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</si>
  <si>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</si>
  <si>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</si>
  <si>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</si>
  <si>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</si>
  <si>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</si>
  <si>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</si>
  <si>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</si>
  <si>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</si>
  <si>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</si>
  <si>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</si>
  <si>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</si>
  <si>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</si>
  <si>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</si>
  <si>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</si>
  <si>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</si>
  <si>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</si>
  <si>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</si>
  <si>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</si>
  <si>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</si>
  <si>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</si>
  <si>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</si>
  <si>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</si>
  <si>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</si>
  <si>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</si>
  <si>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</si>
  <si>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</si>
  <si>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</si>
  <si>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</si>
  <si>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</si>
  <si>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</si>
  <si>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</si>
  <si>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</si>
  <si>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</si>
  <si>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</si>
  <si>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</si>
  <si>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</si>
  <si>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</si>
  <si>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</si>
  <si>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</si>
  <si>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</si>
  <si>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</si>
  <si>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</si>
  <si>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</si>
  <si>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</si>
  <si>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</si>
  <si>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</si>
  <si>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</si>
  <si>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</si>
  <si>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</si>
  <si>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</si>
  <si>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</si>
  <si>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</si>
  <si>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</si>
  <si>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</si>
  <si>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</si>
  <si>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</si>
  <si>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</si>
  <si>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</si>
  <si>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</si>
  <si>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</si>
  <si>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</si>
  <si>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</si>
  <si>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</si>
  <si>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</si>
  <si>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</si>
  <si>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</si>
  <si>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</si>
  <si>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</si>
  <si>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</si>
  <si>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</si>
  <si>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</si>
  <si>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</si>
  <si>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</si>
  <si>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</si>
  <si>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</si>
  <si>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</si>
  <si>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</si>
  <si>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</si>
  <si>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</si>
  <si>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</si>
  <si>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</si>
  <si>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</si>
  <si>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</si>
  <si>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</si>
  <si>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</si>
  <si>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</si>
  <si>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</si>
  <si>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</si>
  <si>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</si>
  <si>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</si>
  <si>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</si>
  <si>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</si>
  <si>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</si>
  <si>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</si>
  <si>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</si>
  <si>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</si>
  <si>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</si>
  <si>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</si>
  <si>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</si>
  <si>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</si>
  <si>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</si>
  <si>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</si>
  <si>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</si>
  <si>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</si>
  <si>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</si>
  <si>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</si>
  <si>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</si>
  <si>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</si>
  <si>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</si>
  <si>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</si>
  <si>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</si>
  <si>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</si>
  <si>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</si>
  <si>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</si>
  <si>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</si>
  <si>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</si>
  <si>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</si>
  <si>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</si>
  <si>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</si>
  <si>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</si>
  <si>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</si>
  <si>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</si>
  <si>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</si>
  <si>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</si>
  <si>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</si>
  <si>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</si>
  <si>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</si>
  <si>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</si>
  <si>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</si>
  <si>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</si>
  <si>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</si>
  <si>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</si>
  <si>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</si>
  <si>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</si>
  <si>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</si>
  <si>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</si>
  <si>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</si>
  <si>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</si>
  <si>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</si>
  <si>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</si>
  <si>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</si>
  <si>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</si>
  <si>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</si>
  <si>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</si>
  <si>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</si>
  <si>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</si>
  <si>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</si>
  <si>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</si>
  <si>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</si>
  <si>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</si>
  <si>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</si>
  <si>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</si>
  <si>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</si>
  <si>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</si>
  <si>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</si>
  <si>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</si>
  <si>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</si>
  <si>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</si>
  <si>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</si>
  <si>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</si>
  <si>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</si>
  <si>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</si>
  <si>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</si>
  <si>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</si>
  <si>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</si>
  <si>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</si>
  <si>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</si>
  <si>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</si>
  <si>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</si>
  <si>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</si>
  <si>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</si>
  <si>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</si>
  <si>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</si>
  <si>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</si>
  <si>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</si>
  <si>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</si>
  <si>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</si>
  <si>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</si>
  <si>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</si>
  <si>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</si>
  <si>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</si>
  <si>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</si>
  <si>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</si>
  <si>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</si>
  <si>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</si>
  <si>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</si>
  <si>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</si>
  <si>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</si>
  <si>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</si>
  <si>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</si>
  <si>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</si>
  <si>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</si>
  <si>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</si>
  <si>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</si>
  <si>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</si>
  <si>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</si>
  <si>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</si>
  <si>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</si>
  <si>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</si>
  <si>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</si>
  <si>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</si>
  <si>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</si>
  <si>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</si>
  <si>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</si>
  <si>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</si>
  <si>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</si>
  <si>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</si>
  <si>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</si>
  <si>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</si>
  <si>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</si>
  <si>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</si>
  <si>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</si>
  <si>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</si>
  <si>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</si>
  <si>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</si>
  <si>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</si>
  <si>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</si>
  <si>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</si>
  <si>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</si>
  <si>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</si>
  <si>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</si>
  <si>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</si>
  <si>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</si>
  <si>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</si>
  <si>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</si>
  <si>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</si>
  <si>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</si>
  <si>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</si>
  <si>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</si>
  <si>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</si>
  <si>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</si>
  <si>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</si>
  <si>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</si>
  <si>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</si>
  <si>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</si>
  <si>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</si>
  <si>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</si>
  <si>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</si>
  <si>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</si>
  <si>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</si>
  <si>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</si>
  <si>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</si>
  <si>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</si>
  <si>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</si>
  <si>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</si>
  <si>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</si>
  <si>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</si>
  <si>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</si>
  <si>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</si>
  <si>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</si>
  <si>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</si>
  <si>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</si>
  <si>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</si>
  <si>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</si>
  <si>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</si>
  <si>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</si>
  <si>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</si>
  <si>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</si>
  <si>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</si>
  <si>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</si>
  <si>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</si>
  <si>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</si>
  <si>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</si>
  <si>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</si>
  <si>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</si>
  <si>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</si>
  <si>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</si>
  <si>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</si>
  <si>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</si>
  <si>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</si>
  <si>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</si>
  <si>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</si>
  <si>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</si>
  <si>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</si>
  <si>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</si>
  <si>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</si>
  <si>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</si>
  <si>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</si>
  <si>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</si>
  <si>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</si>
  <si>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</si>
  <si>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</si>
  <si>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</si>
  <si>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</si>
  <si>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</si>
  <si>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</si>
  <si>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</si>
  <si>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</si>
  <si>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</si>
  <si>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</si>
  <si>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</si>
  <si>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</si>
  <si>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</si>
  <si>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</si>
  <si>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</si>
  <si>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</si>
  <si>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</si>
  <si>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</si>
  <si>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</si>
  <si>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</si>
  <si>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</si>
  <si>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</si>
  <si>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</si>
  <si>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</si>
  <si>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</si>
  <si>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</si>
  <si>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</si>
  <si>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</si>
  <si>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</si>
  <si>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</si>
  <si>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</si>
  <si>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</si>
  <si>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</si>
  <si>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</si>
  <si>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</si>
  <si>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</si>
  <si>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</si>
  <si>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</si>
  <si>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</si>
  <si>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</si>
  <si>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</si>
  <si>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</si>
  <si>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</si>
  <si>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</si>
  <si>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</si>
  <si>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</si>
  <si>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</si>
  <si>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</si>
  <si>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</si>
  <si>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</si>
  <si>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</si>
  <si>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</si>
  <si>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</si>
  <si>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</si>
  <si>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</si>
  <si>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</si>
  <si>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</si>
  <si>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</si>
  <si>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</si>
  <si>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</si>
  <si>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</si>
  <si>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</si>
  <si>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</si>
  <si>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</si>
  <si>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</si>
  <si>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</si>
  <si>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</si>
  <si>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</si>
  <si>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</si>
  <si>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</si>
  <si>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</si>
  <si>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</si>
  <si>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</si>
  <si>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</si>
  <si>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</si>
  <si>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</si>
  <si>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</si>
  <si>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</si>
  <si>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</si>
  <si>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</si>
  <si>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</si>
  <si>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</si>
  <si>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</si>
  <si>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</si>
  <si>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</si>
  <si>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</si>
  <si>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</si>
  <si>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</si>
  <si>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</si>
  <si>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</si>
  <si>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</si>
  <si>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</si>
  <si>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</si>
  <si>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</si>
  <si>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</si>
  <si>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</si>
  <si>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</si>
  <si>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</si>
  <si>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</si>
  <si>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</si>
  <si>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</si>
  <si>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</si>
  <si>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</si>
  <si>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</si>
  <si>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</si>
  <si>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</si>
  <si>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</si>
  <si>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</si>
  <si>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</si>
  <si>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</si>
  <si>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</si>
  <si>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</si>
  <si>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</si>
  <si>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</si>
  <si>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</si>
  <si>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</si>
  <si>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</si>
  <si>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</si>
  <si>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</si>
  <si>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</si>
  <si>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</si>
  <si>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</si>
  <si>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</si>
  <si>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</si>
  <si>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</si>
  <si>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</si>
  <si>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</si>
  <si>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</si>
  <si>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</si>
  <si>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</si>
  <si>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</si>
  <si>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</si>
  <si>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</si>
  <si>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</si>
  <si>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</si>
  <si>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</si>
  <si>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</si>
  <si>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</si>
  <si>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</si>
  <si>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</si>
  <si>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</si>
  <si>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</si>
  <si>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</si>
  <si>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</si>
  <si>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</si>
  <si>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</si>
  <si>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</si>
  <si>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</si>
  <si>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</si>
  <si>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</si>
  <si>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</si>
  <si>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</si>
  <si>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</si>
  <si>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</si>
  <si>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</si>
  <si>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</si>
  <si>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</si>
  <si>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</si>
  <si>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</si>
  <si>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</si>
  <si>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</si>
  <si>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</si>
  <si>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</si>
  <si>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</si>
  <si>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</si>
  <si>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</si>
  <si>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</si>
  <si>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</si>
  <si>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</si>
  <si>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</si>
  <si>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</si>
  <si>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</si>
  <si>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</si>
  <si>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</si>
  <si>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</si>
  <si>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</si>
  <si>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</si>
  <si>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</si>
  <si>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</si>
  <si>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</si>
  <si>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</si>
  <si>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</si>
  <si>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</si>
  <si>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</si>
  <si>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</si>
  <si>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</si>
  <si>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</si>
  <si>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</si>
  <si>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</si>
  <si>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</si>
  <si>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</si>
  <si>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</si>
  <si>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</si>
  <si>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</si>
  <si>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</si>
  <si>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</si>
  <si>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</si>
  <si>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</si>
  <si>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</si>
  <si>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</si>
  <si>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</si>
  <si>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</si>
  <si>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</si>
  <si>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</si>
  <si>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</si>
  <si>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</si>
  <si>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</si>
  <si>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</si>
  <si>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</si>
  <si>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</si>
  <si>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</si>
  <si>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</si>
  <si>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</si>
  <si>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</si>
  <si>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</si>
  <si>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</si>
  <si>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</si>
  <si>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</si>
  <si>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</si>
  <si>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</si>
  <si>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</si>
  <si>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</si>
  <si>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</si>
  <si>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</si>
  <si>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</si>
  <si>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</si>
  <si>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</si>
  <si>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</si>
  <si>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</si>
  <si>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</si>
  <si>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</si>
  <si>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</si>
  <si>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</si>
  <si>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</si>
  <si>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</si>
  <si>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</si>
  <si>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</si>
  <si>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</si>
  <si>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</si>
  <si>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</si>
  <si>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</si>
  <si>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</si>
  <si>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</si>
  <si>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</si>
  <si>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</si>
  <si>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</si>
  <si>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</si>
  <si>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</si>
  <si>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</si>
  <si>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</si>
  <si>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</si>
  <si>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</si>
  <si>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</si>
  <si>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</si>
  <si>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</si>
  <si>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</si>
  <si>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</si>
  <si>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</si>
  <si>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</si>
  <si>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</si>
  <si>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</si>
  <si>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</si>
  <si>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</si>
  <si>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</si>
  <si>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</si>
  <si>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</si>
  <si>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</si>
  <si>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</si>
  <si>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</si>
  <si>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</si>
  <si>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</si>
  <si>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</si>
  <si>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</si>
  <si>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</si>
  <si>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</si>
  <si>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</si>
  <si>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</si>
  <si>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</si>
  <si>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</si>
  <si>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</si>
  <si>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</si>
  <si>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</si>
  <si>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</si>
  <si>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</si>
  <si>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</si>
  <si>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</si>
  <si>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</si>
  <si>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</si>
  <si>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</si>
  <si>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</si>
  <si>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</si>
  <si>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</si>
  <si>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</si>
  <si>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</si>
  <si>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</si>
  <si>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</si>
  <si>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</si>
  <si>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</si>
  <si>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</si>
  <si>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</si>
  <si>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</si>
  <si>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</si>
  <si>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</si>
  <si>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</si>
  <si>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</si>
  <si>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</si>
  <si>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</si>
  <si>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</si>
  <si>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</si>
  <si>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</si>
  <si>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</si>
  <si>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</si>
  <si>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</si>
  <si>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</si>
  <si>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</si>
  <si>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</si>
  <si>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</si>
  <si>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</si>
  <si>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</si>
  <si>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</si>
  <si>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</si>
  <si>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</si>
  <si>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</si>
  <si>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</si>
  <si>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</si>
  <si>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</si>
  <si>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</si>
  <si>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</si>
  <si>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</si>
  <si>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</si>
  <si>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</si>
  <si>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</si>
  <si>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</si>
  <si>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</si>
  <si>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</si>
  <si>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</si>
  <si>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</si>
  <si>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</si>
  <si>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</si>
  <si>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</si>
  <si>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</si>
  <si>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</si>
  <si>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</si>
  <si>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</si>
  <si>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</si>
  <si>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</si>
  <si>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</si>
  <si>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</si>
  <si>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</si>
  <si>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</si>
  <si>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</si>
  <si>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</si>
  <si>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</si>
  <si>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</si>
  <si>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</si>
  <si>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</si>
  <si>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</si>
  <si>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</si>
  <si>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</si>
  <si>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</si>
  <si>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</si>
  <si>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</si>
  <si>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</si>
  <si>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</si>
  <si>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</si>
  <si>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</si>
  <si>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</si>
  <si>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</si>
  <si>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</si>
  <si>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</si>
  <si>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</si>
  <si>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</si>
  <si>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</si>
  <si>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</si>
  <si>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</si>
  <si>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</si>
  <si>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</si>
  <si>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</si>
  <si>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</si>
  <si>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</si>
  <si>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</si>
  <si>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</si>
  <si>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</si>
  <si>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</si>
  <si>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</si>
  <si>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</si>
  <si>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</si>
  <si>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</si>
  <si>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</si>
  <si>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</si>
  <si>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</si>
  <si>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</si>
  <si>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</si>
  <si>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</si>
  <si>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</si>
  <si>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</si>
  <si>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</si>
  <si>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</si>
  <si>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</si>
  <si>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</si>
  <si>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</si>
  <si>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</si>
  <si>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</si>
  <si>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</si>
  <si>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</si>
  <si>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</si>
  <si>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</si>
  <si>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</si>
  <si>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</si>
  <si>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</si>
  <si>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</si>
  <si>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</si>
  <si>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</si>
  <si>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</si>
  <si>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</si>
  <si>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</si>
  <si>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</si>
  <si>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</si>
  <si>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</si>
  <si>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</si>
  <si>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</si>
  <si>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</si>
  <si>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</si>
  <si>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</si>
  <si>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</si>
  <si>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</si>
  <si>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</si>
  <si>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</si>
  <si>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</si>
  <si>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</si>
  <si>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</si>
  <si>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</si>
  <si>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</si>
  <si>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</si>
  <si>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</si>
  <si>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</si>
  <si>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</si>
  <si>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</si>
  <si>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</si>
  <si>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</si>
  <si>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</si>
  <si>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</si>
  <si>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</si>
  <si>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</si>
  <si>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</si>
  <si>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</si>
  <si>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</si>
  <si>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</si>
  <si>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</si>
  <si>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</si>
  <si>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</si>
  <si>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</si>
  <si>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</si>
  <si>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</si>
  <si>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</si>
  <si>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</si>
  <si>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</si>
  <si>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</si>
  <si>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</si>
  <si>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</si>
  <si>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</si>
  <si>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</si>
  <si>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</si>
  <si>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</si>
  <si>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</si>
  <si>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</si>
  <si>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</si>
  <si>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</si>
  <si>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</si>
  <si>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</si>
  <si>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</si>
  <si>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</si>
  <si>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</si>
  <si>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</si>
  <si>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</si>
  <si>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</si>
  <si>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</si>
  <si>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</si>
  <si>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</si>
  <si>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</si>
  <si>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</si>
  <si>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</si>
  <si>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</si>
  <si>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</si>
  <si>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</si>
  <si>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</si>
  <si>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</si>
  <si>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</si>
  <si>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</si>
  <si>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</si>
  <si>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</si>
  <si>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</si>
  <si>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</si>
  <si>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</si>
  <si>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</si>
  <si>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</si>
  <si>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</si>
  <si>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</si>
  <si>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</si>
  <si>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</si>
  <si>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</si>
  <si>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</si>
  <si>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</si>
  <si>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</si>
  <si>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</si>
  <si>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</si>
  <si>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</si>
  <si>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</si>
  <si>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</si>
  <si>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</si>
  <si>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</si>
  <si>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</si>
  <si>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</si>
  <si>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</si>
  <si>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</si>
  <si>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</si>
  <si>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</si>
  <si>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</si>
  <si>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</si>
  <si>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</si>
  <si>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</si>
  <si>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</si>
  <si>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</si>
  <si>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</si>
  <si>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</si>
  <si>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</si>
  <si>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</si>
  <si>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</si>
  <si>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</si>
  <si>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</si>
  <si>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</si>
  <si>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</si>
  <si>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</si>
  <si>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</si>
  <si>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</si>
  <si>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</si>
  <si>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</si>
  <si>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</si>
  <si>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</si>
  <si>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</si>
  <si>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</si>
  <si>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</si>
  <si>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</si>
  <si>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</si>
  <si>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</si>
  <si>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</si>
  <si>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</si>
  <si>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</si>
  <si>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</si>
  <si>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</si>
  <si>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</si>
  <si>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</si>
  <si>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</si>
  <si>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</si>
  <si>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</si>
  <si>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</si>
  <si>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</si>
  <si>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</si>
  <si>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</si>
  <si>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</si>
  <si>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</si>
  <si>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</si>
  <si>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</si>
  <si>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</si>
  <si>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</si>
  <si>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</si>
  <si>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</si>
  <si>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</si>
  <si>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</si>
  <si>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</si>
  <si>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</si>
  <si>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</si>
  <si>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</si>
  <si>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</si>
  <si>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</si>
  <si>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</si>
  <si>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</si>
  <si>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</si>
  <si>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</si>
  <si>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</si>
  <si>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</si>
  <si>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</si>
  <si>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</si>
  <si>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</si>
  <si>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</si>
  <si>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</si>
  <si>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</si>
  <si>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</si>
  <si>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</si>
  <si>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</si>
  <si>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</si>
  <si>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</si>
  <si>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</si>
  <si>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</si>
  <si>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</si>
  <si>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</si>
  <si>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</si>
  <si>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</si>
  <si>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</si>
  <si>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</si>
  <si>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</si>
  <si>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</si>
  <si>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</si>
  <si>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</si>
  <si>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</si>
  <si>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</si>
  <si>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</si>
  <si>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</si>
  <si>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</si>
  <si>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</si>
  <si>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</si>
  <si>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</si>
  <si>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</si>
  <si>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</si>
  <si>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</si>
  <si>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</si>
  <si>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</si>
  <si>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</si>
  <si>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</si>
  <si>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</si>
  <si>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</si>
  <si>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</si>
  <si>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</si>
  <si>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</si>
  <si>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</si>
  <si>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</si>
  <si>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</si>
  <si>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</si>
  <si>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</si>
  <si>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</si>
  <si>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</si>
  <si>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</si>
  <si>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</si>
  <si>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</si>
  <si>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</si>
  <si>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</si>
  <si>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</si>
  <si>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</si>
  <si>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</si>
  <si>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</si>
  <si>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</si>
  <si>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</si>
  <si>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</si>
  <si>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</si>
  <si>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</si>
  <si>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</si>
  <si>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</si>
  <si>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</si>
  <si>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</si>
  <si>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</si>
  <si>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</si>
  <si>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</si>
  <si>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</si>
  <si>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</si>
  <si>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</si>
  <si>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</si>
  <si>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</si>
  <si>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</si>
  <si>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</si>
  <si>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</si>
  <si>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</si>
  <si>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</si>
  <si>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</si>
  <si>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</si>
  <si>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</si>
  <si>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</si>
  <si>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</si>
  <si>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</si>
  <si>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</si>
  <si>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</si>
  <si>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</si>
  <si>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</si>
  <si>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</si>
  <si>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</si>
  <si>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</si>
  <si>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</si>
  <si>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</si>
  <si>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</si>
  <si>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</si>
  <si>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</si>
  <si>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</si>
  <si>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</si>
  <si>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</si>
  <si>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</si>
  <si>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</si>
  <si>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</si>
  <si>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</si>
  <si>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</si>
  <si>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</si>
  <si>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</si>
  <si>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</si>
  <si>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</si>
  <si>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</si>
  <si>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</si>
  <si>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</si>
  <si>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</si>
  <si>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</si>
  <si>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</si>
  <si>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</si>
  <si>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</si>
  <si>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</si>
  <si>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</si>
  <si>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</si>
  <si>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</si>
  <si>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</si>
  <si>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</si>
  <si>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</si>
  <si>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</si>
  <si>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</si>
  <si>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</si>
  <si>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</si>
  <si>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</si>
  <si>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</si>
  <si>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</si>
  <si>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</si>
  <si>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</si>
  <si>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</si>
  <si>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</si>
  <si>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</si>
  <si>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</si>
  <si>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</si>
  <si>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</si>
  <si>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</si>
  <si>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</si>
  <si>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</si>
  <si>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</si>
  <si>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</si>
  <si>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</si>
  <si>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</si>
  <si>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</si>
  <si>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</si>
  <si>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</si>
  <si>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</si>
  <si>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</si>
  <si>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</si>
  <si>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</si>
  <si>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</si>
  <si>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</si>
  <si>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</si>
  <si>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</si>
  <si>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</si>
  <si>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</si>
  <si>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</si>
  <si>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</si>
  <si>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</si>
  <si>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</si>
  <si>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</si>
  <si>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</si>
  <si>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</si>
  <si>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</si>
  <si>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</si>
  <si>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</si>
  <si>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</si>
  <si>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</si>
  <si>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</si>
  <si>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</si>
  <si>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</si>
  <si>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</si>
  <si>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</si>
  <si>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</si>
  <si>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</si>
  <si>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</si>
  <si>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</si>
  <si>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</si>
  <si>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</si>
  <si>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</si>
  <si>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</si>
  <si>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</si>
  <si>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</si>
  <si>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</si>
  <si>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</si>
  <si>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</si>
  <si>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</si>
  <si>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</si>
  <si>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</si>
  <si>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</si>
  <si>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</si>
  <si>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</si>
  <si>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</si>
  <si>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</si>
  <si>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</si>
  <si>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</si>
  <si>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</si>
  <si>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</si>
  <si>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</si>
  <si>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</si>
  <si>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</si>
  <si>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</si>
  <si>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</si>
  <si>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</si>
  <si>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</si>
  <si>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</si>
  <si>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</si>
  <si>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</si>
  <si>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</si>
  <si>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</si>
  <si>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</si>
  <si>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</si>
  <si>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</si>
  <si>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</si>
  <si>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</si>
  <si>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</si>
  <si>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</si>
  <si>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</si>
  <si>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</si>
  <si>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</si>
  <si>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</si>
  <si>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</si>
  <si>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</si>
  <si>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</si>
  <si>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</si>
  <si>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</si>
  <si>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</si>
  <si>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</si>
  <si>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</si>
  <si>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</si>
  <si>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</si>
  <si>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</si>
  <si>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</si>
  <si>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</si>
  <si>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</si>
  <si>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</si>
  <si>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</si>
  <si>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</si>
  <si>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</si>
  <si>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</si>
  <si>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</si>
  <si>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</si>
  <si>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</si>
  <si>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</si>
  <si>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</si>
  <si>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</si>
  <si>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</si>
  <si>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</si>
  <si>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</si>
  <si>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</si>
  <si>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</si>
  <si>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</si>
  <si>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</si>
  <si>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</si>
  <si>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</si>
  <si>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</si>
  <si>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</si>
  <si>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</si>
  <si>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</si>
  <si>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</si>
  <si>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</si>
  <si>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</si>
  <si>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</si>
  <si>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</si>
  <si>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</si>
  <si>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</si>
  <si>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</si>
  <si>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</si>
  <si>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</si>
  <si>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</si>
  <si>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</si>
  <si>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</si>
  <si>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</si>
  <si>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</si>
  <si>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</si>
  <si>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</si>
  <si>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</si>
  <si>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</si>
  <si>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</si>
  <si>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</si>
  <si>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</si>
  <si>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</si>
  <si>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</si>
  <si>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</si>
  <si>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</si>
  <si>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</si>
  <si>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</si>
  <si>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</si>
  <si>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</si>
  <si>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</si>
  <si>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</si>
  <si>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</si>
  <si>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</si>
  <si>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</si>
  <si>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</si>
  <si>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</si>
  <si>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</si>
  <si>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</si>
  <si>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</si>
  <si>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</si>
  <si>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</si>
  <si>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</si>
  <si>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</si>
  <si>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</si>
  <si>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</si>
  <si>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</si>
  <si>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</si>
  <si>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</si>
  <si>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</si>
  <si>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</si>
  <si>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</si>
  <si>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</si>
  <si>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</si>
  <si>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</si>
  <si>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</si>
  <si>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</si>
  <si>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</si>
  <si>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</si>
  <si>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</si>
  <si>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</si>
  <si>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</si>
  <si>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</si>
  <si>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</si>
  <si>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</si>
  <si>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</si>
  <si>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</si>
  <si>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</si>
  <si>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</si>
  <si>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</si>
  <si>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</si>
  <si>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</si>
  <si>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</si>
  <si>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</si>
  <si>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</si>
  <si>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</si>
  <si>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</si>
  <si>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</si>
  <si>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</si>
  <si>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</si>
  <si>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</si>
  <si>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</si>
  <si>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</si>
  <si>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</si>
  <si>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</si>
  <si>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</si>
  <si>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</si>
  <si>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</si>
  <si>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</si>
  <si>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</si>
  <si>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</si>
  <si>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</si>
  <si>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</si>
  <si>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</si>
  <si>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</si>
  <si>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</si>
  <si>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</si>
  <si>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</si>
  <si>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</si>
  <si>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</si>
  <si>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</si>
  <si>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</si>
  <si>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</si>
  <si>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</si>
  <si>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</si>
  <si>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</si>
  <si>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</si>
  <si>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</si>
  <si>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</si>
  <si>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</si>
  <si>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</si>
  <si>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</si>
  <si>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</si>
  <si>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</si>
  <si>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</si>
  <si>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</si>
  <si>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</si>
  <si>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</si>
  <si>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</si>
  <si>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</si>
  <si>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</si>
  <si>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</si>
  <si>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</si>
  <si>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</si>
  <si>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</si>
  <si>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</si>
  <si>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</si>
  <si>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</si>
  <si>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</si>
  <si>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</si>
  <si>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</si>
  <si>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</si>
  <si>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</si>
  <si>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</si>
  <si>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</si>
  <si>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</si>
  <si>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</si>
  <si>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</si>
  <si>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</si>
  <si>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</si>
  <si>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</si>
  <si>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</si>
  <si>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</si>
  <si>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</si>
  <si>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</si>
  <si>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</si>
  <si>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</si>
  <si>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</si>
  <si>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</si>
  <si>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</si>
  <si>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</si>
  <si>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</si>
  <si>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</si>
  <si>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</si>
  <si>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</si>
  <si>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</si>
  <si>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</si>
  <si>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</si>
  <si>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</si>
  <si>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</si>
  <si>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</si>
  <si>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</si>
  <si>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</si>
  <si>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</si>
  <si>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</si>
  <si>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</si>
  <si>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</si>
  <si>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</si>
  <si>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</si>
  <si>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</si>
  <si>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</si>
  <si>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</si>
  <si>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</si>
  <si>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</si>
  <si>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</si>
  <si>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</si>
  <si>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</si>
  <si>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</si>
  <si>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</si>
  <si>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</si>
  <si>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</si>
  <si>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</si>
  <si>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</si>
  <si>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</si>
  <si>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</si>
  <si>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</si>
  <si>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</si>
  <si>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</si>
  <si>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</si>
  <si>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</si>
  <si>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</si>
  <si>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</si>
  <si>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</si>
  <si>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</si>
  <si>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</si>
  <si>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</si>
  <si>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</si>
  <si>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</si>
  <si>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</si>
  <si>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</si>
  <si>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</si>
  <si>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</si>
  <si>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</si>
  <si>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</si>
  <si>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</si>
  <si>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</si>
  <si>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</si>
  <si>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</si>
  <si>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</si>
  <si>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</si>
  <si>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</si>
  <si>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</si>
  <si>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</si>
  <si>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</si>
  <si>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</si>
  <si>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</si>
  <si>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</si>
  <si>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</si>
  <si>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</si>
  <si>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</si>
  <si>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</si>
  <si>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</si>
  <si>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</si>
  <si>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</si>
  <si>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</si>
  <si>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</si>
  <si>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</si>
  <si>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</si>
  <si>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</si>
  <si>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</si>
  <si>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</si>
  <si>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</si>
  <si>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</si>
  <si>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</si>
  <si>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</si>
  <si>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</si>
  <si>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</si>
  <si>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</si>
  <si>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</si>
  <si>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</si>
  <si>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</si>
  <si>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</si>
  <si>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</si>
  <si>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</si>
  <si>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</si>
  <si>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</si>
  <si>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</si>
  <si>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</si>
  <si>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</si>
  <si>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</si>
  <si>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</si>
  <si>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</si>
  <si>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</si>
  <si>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</si>
  <si>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</si>
  <si>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</si>
  <si>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</si>
  <si>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</si>
  <si>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</si>
  <si>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</si>
  <si>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</si>
  <si>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</si>
  <si>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</si>
  <si>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</si>
  <si>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</si>
  <si>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</si>
  <si>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</si>
  <si>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</si>
  <si>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</si>
  <si>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</si>
  <si>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</si>
  <si>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</si>
  <si>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</si>
  <si>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</si>
  <si>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</si>
  <si>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</si>
  <si>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</si>
  <si>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</si>
  <si>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</si>
  <si>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</si>
  <si>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</si>
  <si>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</si>
  <si>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</si>
  <si>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</si>
  <si>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</si>
  <si>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</si>
  <si>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</si>
  <si>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</si>
  <si>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</si>
  <si>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</si>
  <si>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</si>
  <si>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</si>
  <si>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</si>
  <si>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</si>
  <si>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</si>
  <si>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</si>
  <si>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</si>
  <si>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</si>
  <si>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</si>
  <si>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</si>
  <si>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</si>
  <si>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</si>
  <si>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</si>
  <si>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</si>
  <si>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</si>
  <si>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</si>
  <si>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</si>
  <si>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</si>
  <si>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</si>
  <si>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</si>
  <si>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</si>
  <si>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</si>
  <si>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</si>
  <si>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</si>
  <si>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</si>
  <si>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</si>
  <si>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</si>
  <si>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</si>
  <si>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</si>
  <si>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</si>
  <si>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</si>
  <si>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</si>
  <si>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</si>
  <si>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</si>
  <si>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</si>
  <si>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</si>
  <si>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</si>
  <si>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</si>
  <si>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</si>
  <si>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</si>
  <si>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</si>
  <si>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</si>
  <si>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</si>
  <si>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</si>
  <si>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</si>
  <si>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</si>
  <si>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</si>
  <si>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</si>
  <si>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</si>
  <si>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</si>
  <si>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</si>
  <si>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</si>
  <si>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</si>
  <si>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</si>
  <si>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</si>
  <si>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</si>
  <si>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</si>
  <si>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</si>
  <si>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</si>
  <si>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</si>
  <si>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</si>
  <si>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</si>
  <si>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</si>
  <si>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</si>
  <si>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</si>
  <si>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</si>
  <si>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</si>
  <si>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</si>
  <si>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</si>
  <si>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</si>
  <si>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</si>
  <si>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</si>
  <si>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</si>
  <si>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</si>
  <si>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</si>
  <si>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</si>
  <si>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</si>
  <si>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</si>
  <si>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</si>
  <si>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</si>
  <si>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</si>
  <si>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</si>
  <si>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</si>
  <si>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</si>
  <si>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</si>
  <si>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</si>
  <si>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</si>
  <si>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</si>
  <si>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</si>
  <si>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</si>
  <si>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</si>
  <si>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</si>
  <si>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</si>
  <si>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</si>
  <si>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</si>
  <si>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</si>
  <si>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</si>
  <si>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</si>
  <si>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</si>
  <si>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</si>
  <si>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</si>
  <si>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</si>
  <si>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</si>
  <si>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</si>
  <si>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</si>
  <si>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</si>
  <si>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</si>
  <si>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</si>
  <si>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</si>
  <si>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</si>
  <si>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</si>
  <si>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</si>
  <si>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</si>
  <si>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</si>
  <si>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</si>
  <si>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</si>
  <si>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</si>
  <si>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</si>
  <si>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</si>
  <si>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</si>
  <si>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</si>
  <si>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</si>
  <si>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</si>
  <si>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</si>
  <si>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</si>
  <si>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</si>
  <si>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</si>
  <si>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</si>
  <si>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</si>
  <si>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</si>
  <si>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</si>
  <si>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</si>
  <si>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</si>
  <si>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</si>
  <si>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</si>
  <si>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</si>
  <si>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</si>
  <si>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</si>
  <si>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</si>
  <si>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</si>
  <si>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</si>
  <si>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</si>
  <si>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</si>
  <si>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</si>
  <si>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</si>
  <si>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</si>
  <si>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</si>
  <si>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</si>
  <si>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</si>
  <si>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</si>
  <si>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</si>
  <si>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</si>
  <si>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</si>
  <si>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</si>
  <si>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</si>
  <si>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</si>
  <si>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</si>
  <si>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</si>
  <si>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</si>
  <si>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</si>
  <si>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</si>
  <si>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</si>
  <si>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</si>
  <si>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</si>
  <si>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</si>
  <si>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</si>
  <si>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</si>
  <si>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</si>
  <si>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</si>
  <si>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</si>
  <si>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</si>
  <si>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</si>
  <si>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</si>
  <si>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</si>
  <si>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</si>
  <si>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</si>
  <si>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</si>
  <si>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</si>
  <si>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</si>
  <si>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</si>
  <si>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</si>
  <si>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</si>
  <si>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</si>
  <si>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</si>
  <si>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</si>
  <si>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</si>
  <si>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</si>
  <si>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</si>
  <si>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</si>
  <si>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</si>
  <si>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</si>
  <si>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</si>
  <si>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</si>
  <si>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</si>
  <si>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</si>
  <si>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</si>
  <si>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</si>
  <si>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</si>
  <si>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</si>
  <si>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</si>
  <si>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</si>
  <si>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</si>
  <si>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</si>
  <si>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</si>
  <si>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</si>
  <si>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</si>
  <si>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</si>
  <si>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</si>
  <si>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</si>
  <si>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</si>
  <si>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</si>
  <si>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</si>
  <si>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</si>
  <si>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</si>
  <si>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</si>
  <si>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</si>
  <si>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</si>
  <si>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</si>
  <si>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</si>
  <si>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</si>
  <si>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</si>
  <si>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</si>
  <si>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</si>
  <si>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</si>
  <si>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</si>
  <si>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</si>
  <si>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</si>
  <si>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</si>
  <si>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</si>
  <si>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</si>
  <si>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</si>
  <si>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</si>
  <si>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</si>
  <si>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EE</t>
  </si>
  <si>
    <t>Q_1_1</t>
  </si>
  <si>
    <t>S01_InstitutionDetails</t>
  </si>
  <si>
    <t>NameAndDepartment</t>
  </si>
  <si>
    <t>text</t>
  </si>
  <si>
    <t>Environmental Board, Climate and Ambient Air Bureau</t>
  </si>
  <si>
    <t/>
  </si>
  <si>
    <t>ContactPersonName</t>
  </si>
  <si>
    <t>Ms Annika Konovalov</t>
  </si>
  <si>
    <t>ContactPersonJobTitle</t>
  </si>
  <si>
    <t>Chief Climate Officer</t>
  </si>
  <si>
    <t>Address</t>
  </si>
  <si>
    <t>Roheline 64, Pärnu 80010</t>
  </si>
  <si>
    <t>InternationalTelephoneNumber</t>
  </si>
  <si>
    <t>3726625999</t>
  </si>
  <si>
    <t>EMail</t>
  </si>
  <si>
    <t>info@keskkonnaamet.ee</t>
  </si>
  <si>
    <t>ReportingYear</t>
  </si>
  <si>
    <t>integer</t>
  </si>
  <si>
    <t>Q_2_1</t>
  </si>
  <si>
    <t>S02_CompetentAuthority</t>
  </si>
  <si>
    <t>CAName</t>
  </si>
  <si>
    <t>Keskkonnaministeerium (Ministry of the Environment)</t>
  </si>
  <si>
    <t>Keskkonnaamet (Environmental Board)</t>
  </si>
  <si>
    <t>CAAbbreviation</t>
  </si>
  <si>
    <t>KeM</t>
  </si>
  <si>
    <t>KeA</t>
  </si>
  <si>
    <t>CAType</t>
  </si>
  <si>
    <t>CATelephone</t>
  </si>
  <si>
    <t>3726262802</t>
  </si>
  <si>
    <t>CAEmail</t>
  </si>
  <si>
    <t>keskkonnaministeerium@envir.ee</t>
  </si>
  <si>
    <t>CAWebsite</t>
  </si>
  <si>
    <t>www.envir.ee</t>
  </si>
  <si>
    <t>www.keskkonnaamet.ee</t>
  </si>
  <si>
    <t>S02_AccreditationBodyYesNo</t>
  </si>
  <si>
    <t>yesno</t>
  </si>
  <si>
    <t>S02_AccreditationBody</t>
  </si>
  <si>
    <t>AccBodyName</t>
  </si>
  <si>
    <t>Eesti Akrediteerimiskeskus (Estonian Accreditation Centre)</t>
  </si>
  <si>
    <t>AccBodyAbbreviation</t>
  </si>
  <si>
    <t>EAK</t>
  </si>
  <si>
    <t>AccBodyTelephone</t>
  </si>
  <si>
    <t>3726055050</t>
  </si>
  <si>
    <t>AccBodyEmail</t>
  </si>
  <si>
    <t>info@eak.ee</t>
  </si>
  <si>
    <t>AccBodyWebsite</t>
  </si>
  <si>
    <t>www.eak.ee</t>
  </si>
  <si>
    <t>CertificationBodySetUp</t>
  </si>
  <si>
    <t>S02_RegistryAdministrator</t>
  </si>
  <si>
    <t>RegAdminName</t>
  </si>
  <si>
    <t>Keskkonnaamet</t>
  </si>
  <si>
    <t>RegAdminAbbreviation</t>
  </si>
  <si>
    <t>RegAdminTelephone</t>
  </si>
  <si>
    <t>37256944935</t>
  </si>
  <si>
    <t>RegAdminEmail</t>
  </si>
  <si>
    <t>khgregister@keskkonnaamet.ee</t>
  </si>
  <si>
    <t>RegAdminWebsite</t>
  </si>
  <si>
    <t>https://keskkonnaamet.ee/keskkonnakasutus-keskkonnatasu/ohk-ja-kliima/kasvuhoonegaasid</t>
  </si>
  <si>
    <t>Q_2_2</t>
  </si>
  <si>
    <t>S02_CompetentAuthorityRoles</t>
  </si>
  <si>
    <t>CAForInstallationTask</t>
  </si>
  <si>
    <t>CAForAviationTask</t>
  </si>
  <si>
    <t>Q_2_3</t>
  </si>
  <si>
    <t>S02_CAFocalPoint</t>
  </si>
  <si>
    <t>CAArt70</t>
  </si>
  <si>
    <t>CAArt70Abbrev</t>
  </si>
  <si>
    <t>S02_CompetentAuthorityCoordination</t>
  </si>
  <si>
    <t>CACoordinationComment</t>
  </si>
  <si>
    <t>memo</t>
  </si>
  <si>
    <t>KeA is responsible for the implementation of the EU ETS and KeM is responsible for policy making and auctioning.</t>
  </si>
  <si>
    <t>Q_2_4</t>
  </si>
  <si>
    <t>S02_InformationExchangeAccBodyAndCA</t>
  </si>
  <si>
    <t>InfoExchangeYesNo</t>
  </si>
  <si>
    <t>InfoExchangeComment</t>
  </si>
  <si>
    <t>Meetings are organised irregularly.</t>
  </si>
  <si>
    <t>Discussions are held irregularly.</t>
  </si>
  <si>
    <t>Q_3_1</t>
  </si>
  <si>
    <t>S03_EmittingInstallations</t>
  </si>
  <si>
    <t>NumberOfInstallations</t>
  </si>
  <si>
    <t>S03_ActivityPermits</t>
  </si>
  <si>
    <t>ActivityPermitsIssued</t>
  </si>
  <si>
    <t>Q_3_2</t>
  </si>
  <si>
    <t>InstallationsExcludedArt27</t>
  </si>
  <si>
    <t>Q_3_3</t>
  </si>
  <si>
    <t>S03_AircraftAnnex1Activities</t>
  </si>
  <si>
    <t>NumberCommercialOperators</t>
  </si>
  <si>
    <t>NumberNonCommercialOperators</t>
  </si>
  <si>
    <t>NumberTotalOperators</t>
  </si>
  <si>
    <t>Q_4_1</t>
  </si>
  <si>
    <t>S04_IEDProcedureRequirementsIntegratedYes</t>
  </si>
  <si>
    <t>IntegrationYesNo</t>
  </si>
  <si>
    <t>IntegrationComments</t>
  </si>
  <si>
    <t>The approval of monitoring plans and assessment of annual emissions reports are carried out by the officers dealing only with the EU ETS implementation.</t>
  </si>
  <si>
    <t>Inspection of the EU ETS activities are carried out by the officers dealing only with the EU ETS implementation.</t>
  </si>
  <si>
    <t>Q_4_2</t>
  </si>
  <si>
    <t>S04_NationalLawPermitUpdate</t>
  </si>
  <si>
    <t>PermitUpdateNationalLawDetail</t>
  </si>
  <si>
    <t>According to the General Part of the Environmental Code Act § 62, (1) The issuer of an environmental permit revokes the environmental permit: 1) at the request of the permit holder; 2) where the permit holder dies and the activity permitted under the permit is related to the person of the permit holder or the passive legal capacity of the permit holder terminates without legal succession; 3) where the activity permitted under the permit is not commenced within two years as of the granting of the permit. (2) The issuer of an environmental permit may revoke the environmental permit: 1) on the grounds provided for in § 59 of this Act where the public interest or the interest of a third party cannot effectively be protected by amending the permit; 2) where the permit holder does not fulfil the requirements provided by the permit or law and the revocation of the permit is demanded by an overriding public interest or the permit holder has been penalised for such offence; 3) where the permit holder has knowingly given false information that influenced the granting of the environmental permit. (3) Upon revocation of an environmental permit, clause 2 of subsection 4 of § 67 of the Administrative Procedure Code does not apply. (4) An environmental permit is revoked without open proceedings where, in the event of the validity of the permit, there is an environmental threat or a significant environmental nuisance or where the administrative authority does not consider it necessary to carry out open proceedings due to the minor effects arising from the revocation of the environmental permit. An integrated environmental permit is revoked, in addition to the provisions of subsection 62 (1) of the General Part of the Environmental Code Act, if: 1) it has become evident that the issuer of permits has been submitted false information or falsified documentation; [RT I, 10.07.2020, 2 - entry into force 01.01.2021] 2) the contamination caused by the installation is of such significance that the significant adverse impact caused thereby on the environment, human health, well-being, property and cultural heritage cannot be prevented without fundamental technological restructuring which requires application for a new integrated permit; 3) the operator has repeatedly or significantly violated the safety requirements in a dangerous enterprise or an enterprise liable to be affected by a major accident and thereby caused a risk of accidents or an accident and the Consumer Protection and Technical Regulatory Authority or the Rescue Board has proposed to the issuer of permits to revoke the integrated permit; 4) it has become evident that the techniques used in the installation do not allow to achieve the emission level associated with the best available techniques or the emission level provided for in the BAT conclusions.</t>
  </si>
  <si>
    <t>Permits are issued indefinitely.</t>
  </si>
  <si>
    <t>Changes in the capacity do not cause the change of the permit.</t>
  </si>
  <si>
    <t>Permit change is required if installation starts a new activity.</t>
  </si>
  <si>
    <t xml:space="preserve">When the content of the permit changes, e.g. the name and address of the operator.
</t>
  </si>
  <si>
    <t>PermitUpdateTotalNumber</t>
  </si>
  <si>
    <t>Q_5_1</t>
  </si>
  <si>
    <t>AdditionalNationalLegislation</t>
  </si>
  <si>
    <t>AdditionalNationalGuidance</t>
  </si>
  <si>
    <t>Q_5_2</t>
  </si>
  <si>
    <t>MeasuresStreamline</t>
  </si>
  <si>
    <t>MeasuresStreamlineYesNo</t>
  </si>
  <si>
    <t>MeasuresStreamlineComments</t>
  </si>
  <si>
    <t xml:space="preserve">Greenhouse gas inventory reporting is done by the Estonian Environment Research Centre (EERC) on the basis of contract agreements with the Ministry of Environment (MoE). EERC gets the necessary information regarding ETS from Climate and Ambient Air Bureau of the Environmental Board who is also responsible for the ETS Reporting for Estonia therefore the information used for different Reporting is consistent. </t>
  </si>
  <si>
    <t>Cooperation with National Statistical office is based on an agreement, information is provided about different fuels and quantities used. Statistics Estonia use that information received from the Environmental Board for checking the consistency in energy consumption data to ensure better quality of energy data reported under the EU Energy Statistics Regulation 2008/1099.</t>
  </si>
  <si>
    <t>Q_5_3</t>
  </si>
  <si>
    <t>CommissionTemplatesMRR</t>
  </si>
  <si>
    <t>Q_5_4</t>
  </si>
  <si>
    <t>AutomatedSystemInformationExchange</t>
  </si>
  <si>
    <t>Q_5_5</t>
  </si>
  <si>
    <t>S05_InstallationFuelConsEmissions</t>
  </si>
  <si>
    <t>FuelConsumption</t>
  </si>
  <si>
    <t>decimal</t>
  </si>
  <si>
    <t>Q_5_7</t>
  </si>
  <si>
    <t>FuelAnnualEmissions</t>
  </si>
  <si>
    <t>Q_5_6</t>
  </si>
  <si>
    <t>S05_AggregateTotalEmissionsByCRF</t>
  </si>
  <si>
    <t>CRFCategory1</t>
  </si>
  <si>
    <t>CRFCategory2</t>
  </si>
  <si>
    <t>TotalEmissionsTCo2e</t>
  </si>
  <si>
    <t>TotalCombustionEmissionsTCo2e</t>
  </si>
  <si>
    <t>TotalProcessEmissionsTCo2e</t>
  </si>
  <si>
    <t>S05_DefaultValues</t>
  </si>
  <si>
    <t>InstallationCategory</t>
  </si>
  <si>
    <t>FuelMaterialType</t>
  </si>
  <si>
    <t>shale oil</t>
  </si>
  <si>
    <t>biomass</t>
  </si>
  <si>
    <t>limestone</t>
  </si>
  <si>
    <t>natural gas</t>
  </si>
  <si>
    <t>diesel oil</t>
  </si>
  <si>
    <t>peat</t>
  </si>
  <si>
    <t>lime</t>
  </si>
  <si>
    <t>light fuel oil</t>
  </si>
  <si>
    <t>biogas</t>
  </si>
  <si>
    <t>heavy fuel oil</t>
  </si>
  <si>
    <t>black liquor</t>
  </si>
  <si>
    <t>lime sediment</t>
  </si>
  <si>
    <t>barium carbonate</t>
  </si>
  <si>
    <t>clay</t>
  </si>
  <si>
    <t>coke</t>
  </si>
  <si>
    <t>soda ash</t>
  </si>
  <si>
    <t>InstallationNumber</t>
  </si>
  <si>
    <t>Q_5_8</t>
  </si>
  <si>
    <t>S05_InstallationDifferentSamplingFrequency</t>
  </si>
  <si>
    <t>SamplingFuelMaterial</t>
  </si>
  <si>
    <t>Refinery gas</t>
  </si>
  <si>
    <t>Semi-coke gas</t>
  </si>
  <si>
    <t>CountInstallationsDiffFrequency</t>
  </si>
  <si>
    <t>MajorSourceStreams</t>
  </si>
  <si>
    <t>SamplingPlanDocumented</t>
  </si>
  <si>
    <t>Q_5_10</t>
  </si>
  <si>
    <t>S05_CategoryBHighestTierNotApplied</t>
  </si>
  <si>
    <t>MonitoringMethodology</t>
  </si>
  <si>
    <t>CategoryBMainActivity</t>
  </si>
  <si>
    <t>CategoryBInstallationsAffected</t>
  </si>
  <si>
    <t>Q_5_11</t>
  </si>
  <si>
    <t>FallBackApproachApplied</t>
  </si>
  <si>
    <t>Q_5_12</t>
  </si>
  <si>
    <t>S05_ImprovementReportArt69</t>
  </si>
  <si>
    <t>Annex1Activity</t>
  </si>
  <si>
    <t>ImprovementReportType</t>
  </si>
  <si>
    <t>ImprovementReportRequired</t>
  </si>
  <si>
    <t>ImprovementReportSubmitted</t>
  </si>
  <si>
    <t>Q_5_13</t>
  </si>
  <si>
    <t>InherentCarbonTransferred</t>
  </si>
  <si>
    <t>Q_5_14</t>
  </si>
  <si>
    <t>ContinuousEmissionsMeasurement</t>
  </si>
  <si>
    <t>S05_ContinuousEmissionsMeasurementDetail</t>
  </si>
  <si>
    <t>InstallationIDCO2</t>
  </si>
  <si>
    <t>57</t>
  </si>
  <si>
    <t>TotalEmissionsCO2E</t>
  </si>
  <si>
    <t>ContinuousMeasurementTotalEmissions</t>
  </si>
  <si>
    <t>FlueGasContainBiomass</t>
  </si>
  <si>
    <t>Q_5_15</t>
  </si>
  <si>
    <t>SustainabilityComplianceDemonstrate</t>
  </si>
  <si>
    <t>All installations, except one, use solid biomass for which no sustainability criteria are to be applied. One installation is using biogas (not for transportation) which no sustainability criteria are to be applied.</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</si>
  <si>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</si>
  <si>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</si>
  <si>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</si>
  <si>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</si>
  <si>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</si>
  <si>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</si>
  <si>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</si>
  <si>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</si>
  <si>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</si>
  <si>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</si>
  <si>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</si>
  <si>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</si>
  <si>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</si>
  <si>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</si>
  <si>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</si>
  <si>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</si>
  <si>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</si>
  <si>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</si>
  <si>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</si>
  <si>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</si>
  <si>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</si>
  <si>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</si>
  <si>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</si>
  <si>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</si>
  <si>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</si>
  <si>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</si>
  <si>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</si>
  <si>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</si>
  <si>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</si>
  <si>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</si>
  <si>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</si>
  <si>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</si>
  <si>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</si>
  <si>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Q_6_1</t>
  </si>
  <si>
    <t>S06_TotalVerifiers</t>
  </si>
  <si>
    <t>CountVerifiersInstallations</t>
  </si>
  <si>
    <t>CountVerifiersAviation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</si>
  <si>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</si>
  <si>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</si>
  <si>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</si>
  <si>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</si>
  <si>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</si>
  <si>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</si>
  <si>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</si>
  <si>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</si>
  <si>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</si>
  <si>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</si>
  <si>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</si>
  <si>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</si>
  <si>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</si>
  <si>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</si>
  <si>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</si>
  <si>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</si>
  <si>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</si>
  <si>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</si>
  <si>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</si>
  <si>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</si>
  <si>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</si>
  <si>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</si>
  <si>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</si>
  <si>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</si>
  <si>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</si>
  <si>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</si>
  <si>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</si>
  <si>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</si>
  <si>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</si>
  <si>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</si>
  <si>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</si>
  <si>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</si>
  <si>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All emission reports were checked against previous emissions reported.</t>
  </si>
  <si>
    <t>All reports were analysed in detail.</t>
  </si>
  <si>
    <t>SelectingCriteria</t>
  </si>
  <si>
    <t>S06_InstallationsVerificationReportChecksDetail2</t>
  </si>
  <si>
    <t>NumberOfReports</t>
  </si>
  <si>
    <t>S06_InstallationsVerificationReportChecksDetail3</t>
  </si>
  <si>
    <t>ActionsTaken</t>
  </si>
  <si>
    <t>not applicable</t>
  </si>
  <si>
    <t>Q_6_6</t>
  </si>
  <si>
    <t>InstallationVisitsWaivedHighEmitters</t>
  </si>
  <si>
    <t>InstallationsVisitsWaivedLowEmitters</t>
  </si>
  <si>
    <t>Q_6_7</t>
  </si>
  <si>
    <t>VirtualVisitsInstallations</t>
  </si>
  <si>
    <t>S06_VirtualVisitsInstallationsDetails</t>
  </si>
  <si>
    <t>TypeForceMajeur</t>
  </si>
  <si>
    <t>COVID-19 pandemic</t>
  </si>
  <si>
    <t>NumberOfInstallationsVV</t>
  </si>
  <si>
    <t>AuthorityApproval</t>
  </si>
  <si>
    <t>ConfirmationConditionsMet</t>
  </si>
  <si>
    <t>Q_6_8</t>
  </si>
  <si>
    <t>S06_NegativeOpinionAircraft</t>
  </si>
  <si>
    <t>Q_6_9</t>
  </si>
  <si>
    <t>AircraftOperatorsVerificationReportIssues</t>
  </si>
  <si>
    <t>S06_AircraftOperatorsVerificationReportIssuesEmissions</t>
  </si>
  <si>
    <t>NumberOfAircraftOperators</t>
  </si>
  <si>
    <t>Q_6_10</t>
  </si>
  <si>
    <t>AircraftOperatorsVerificationReportChecks</t>
  </si>
  <si>
    <t>S06_AircraftOperatorsVerificationEmissionReportChecks1</t>
  </si>
  <si>
    <t>Emission report was checked against previous emissions reported.</t>
  </si>
  <si>
    <t>Only one report was submitted and it was analysed in detail.</t>
  </si>
  <si>
    <t>S06_AircraftOperatorsVerificationEmissionReportChecks2</t>
  </si>
  <si>
    <t>S06_AircraftOperatorsVerificationEmissionReportChecks3</t>
  </si>
  <si>
    <t>Q_6_11</t>
  </si>
  <si>
    <t>AircraftOperatorsVisitsWaivedLowEmitters</t>
  </si>
  <si>
    <t>Q_6_12</t>
  </si>
  <si>
    <t>VirtualVisitsAircraft</t>
  </si>
  <si>
    <t>Q_7_3</t>
  </si>
  <si>
    <t>AircraftOperatorsMandateArt15UseNumber</t>
  </si>
  <si>
    <t>Q_8_1</t>
  </si>
  <si>
    <t>CommissionTemplatesAllocation</t>
  </si>
  <si>
    <t>Q_8_2</t>
  </si>
  <si>
    <t>FeesAllocation</t>
  </si>
  <si>
    <t>Q_8_3</t>
  </si>
  <si>
    <t>ITforAllocationData</t>
  </si>
  <si>
    <t>Q_8_4</t>
  </si>
  <si>
    <t>S08_RenunciationSuspensionAllowances</t>
  </si>
  <si>
    <t>Q_8_5</t>
  </si>
  <si>
    <t>SubInstallationBenchmark61</t>
  </si>
  <si>
    <t>SubInstallationBenchmark61Reject</t>
  </si>
  <si>
    <t>SubInstallationBenchmark62</t>
  </si>
  <si>
    <t>Q_8_6</t>
  </si>
  <si>
    <t>S08_ScopeExclusion</t>
  </si>
  <si>
    <t>Q_8_7</t>
  </si>
  <si>
    <t>Article10cApplied</t>
  </si>
  <si>
    <t>Q_8_10</t>
  </si>
  <si>
    <t>AdditionalParametersRequired</t>
  </si>
  <si>
    <t>Q_8_11</t>
  </si>
  <si>
    <t>PreliminaryActivityRequired</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</si>
  <si>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</si>
  <si>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</si>
  <si>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</si>
  <si>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</si>
  <si>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</si>
  <si>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</si>
  <si>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</si>
  <si>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</si>
  <si>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</si>
  <si>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</si>
  <si>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</si>
  <si>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For example the fuel input differed compared to AER, there were problems filling CHP tool and group information was missing.</t>
  </si>
  <si>
    <t>Operators revised the reports and submitted reverified reports to the CA.</t>
  </si>
  <si>
    <t>Most common mistakes will be discussed in a training event organised by the CA to the operators.</t>
  </si>
  <si>
    <t>Q_8_15</t>
  </si>
  <si>
    <t>ActivityLevelVisitsWaived</t>
  </si>
  <si>
    <t>Q_8_16</t>
  </si>
  <si>
    <t>VirtualVisitsActivityLevel</t>
  </si>
  <si>
    <t>S08_VirtualVisitsActivityLevelDetail</t>
  </si>
  <si>
    <t>Q_8_17</t>
  </si>
  <si>
    <t>S08_PenaltiesAllocation</t>
  </si>
  <si>
    <t>MaxFine</t>
  </si>
  <si>
    <t>Q_8_18</t>
  </si>
  <si>
    <t>PriorPenaltiesEnforced</t>
  </si>
  <si>
    <t>Q_9_1</t>
  </si>
  <si>
    <t>InstallationOperatorFees</t>
  </si>
  <si>
    <t>Q_9_2</t>
  </si>
  <si>
    <t>AircraftOperatorFees</t>
  </si>
  <si>
    <t>S09_RegistryAccountOneOffFees</t>
  </si>
  <si>
    <t>OneOffFeeReason</t>
  </si>
  <si>
    <t>Opening a trading account</t>
  </si>
  <si>
    <t>OneOffFeeAmount</t>
  </si>
  <si>
    <t>S09_RegistryAccountAnnualFees</t>
  </si>
  <si>
    <t>AnnualFeeReason</t>
  </si>
  <si>
    <t>Maintenance fee for trading account</t>
  </si>
  <si>
    <t>AnnualFeeAmount</t>
  </si>
  <si>
    <t>Q_10_1</t>
  </si>
  <si>
    <t>S10_InstallationsComplianceMeasures</t>
  </si>
  <si>
    <t>ComplianceMeasuresYesNo</t>
  </si>
  <si>
    <t>ComplianceMeasuresComment</t>
  </si>
  <si>
    <t>Due to COVID-19 no inspections were done in 2021.</t>
  </si>
  <si>
    <t>Selling of allowances would have been prohibited in case there would have been irregularities but we did not have such cases.</t>
  </si>
  <si>
    <t>Regular training events are held and regular communication with the operators takes place.</t>
  </si>
  <si>
    <t>Q_10_2</t>
  </si>
  <si>
    <t>S10_InstallationsInfringementPenalties</t>
  </si>
  <si>
    <t>MinFine</t>
  </si>
  <si>
    <t>PrisonMax</t>
  </si>
  <si>
    <t>OtherPenalty</t>
  </si>
  <si>
    <t xml:space="preserve"> Regarding the 12 months, if significant damage is thereby caused to the environment, it is punishable by up to three years’ imprisonment; The 4000-16000000 euros fine is a pecuniary punishment of Penal Code for a criminal offence. The amount of fine is calculated as a percentage of the turnover of the legal person during the financial year immediately preceding the year in which the criminal proceedings were commenced.</t>
  </si>
  <si>
    <t>InfringementOther</t>
  </si>
  <si>
    <t>Several sanction types are laid down in the national legislation.</t>
  </si>
  <si>
    <t>InstallationsNationalLaw</t>
  </si>
  <si>
    <t>Environmental Board (hereinafter KeA) is responsible for imposing sanctions whenever necessary. This includes sanctions with regards to the general violations of permit conditions and requirements as well as sanctions in case of non-compliance regarding timely surrender of allowances. Several sanction types are laid down in the national legislation. Atmospheric Air Protection Act article 169 states that the indemnity for emission allowances shall be collected by the KeA and shall be transferred to the state budget. KeA has the right to issue precepts. Upon failure to comply with the precept, a penalty payment may be imposed by supervisory officials pursuant to the procedure provided by the Substitutive Enforcement and Penalty Payment Act. The upper limit for a penalty payment is 32 000 euros. According to the Atmospheric Air Protection Act article 237 "Violation of requirements for emission allowances trading system" the violation of the requirements for the emission allowances trading system is punishable by a fine of up to 300 fine units. The same act, if committed by a legal person, is punishable by a fine of up to 32 000 euros. In addition, according to Penal Code article 366 „Violation of procedure for utilisation of natural resources or procedure for maintenance of records on pollution“ the violation of the procedure for maintenance of records on pollution or the requirements for environmental monitoring is punishable by a fine of up to one hundred fine units or by detention. The same act, if committed by a legal person, is punishable by a fine of up to 2 000 euros.</t>
  </si>
  <si>
    <t>Q_10_3</t>
  </si>
  <si>
    <t>InstallationsPriorPenaltiesEnforced</t>
  </si>
  <si>
    <t>Q_10_5</t>
  </si>
  <si>
    <t>S10_AircraftComplianceMeasures</t>
  </si>
  <si>
    <t>Regular communication takes place.</t>
  </si>
  <si>
    <t>Q_10_6</t>
  </si>
  <si>
    <t>S10_AircraftInfringementPenalties</t>
  </si>
  <si>
    <t>Q_10_7</t>
  </si>
  <si>
    <t>AircraftPriorPenaltiesEnforced</t>
  </si>
  <si>
    <t>Q_10_9</t>
  </si>
  <si>
    <t>OperatingBanRequestMeasures</t>
  </si>
  <si>
    <t>If the negotiations with the operator and relevant national aviation authority do not provide a solution, the European Commission will be contacted.</t>
  </si>
  <si>
    <t>Q_11_1</t>
  </si>
  <si>
    <t>LegalNatureOfEmissionAllowance</t>
  </si>
  <si>
    <t>The legal nature of an allowance in Estonian legislation is a security.</t>
  </si>
  <si>
    <t>Q_11_2</t>
  </si>
  <si>
    <t>AccountingTreatmentOfEmissionAllowances</t>
  </si>
  <si>
    <t>In accounting the allowances are reflected as the monetary right.</t>
  </si>
  <si>
    <t>Q_11_3</t>
  </si>
  <si>
    <t>VATdueEmissionAllowancesIssuance</t>
  </si>
  <si>
    <t>ReverseChargeMechanismEmissionAllowances</t>
  </si>
  <si>
    <t>Q_11_4</t>
  </si>
  <si>
    <t>EmissionAllowancesTaxed</t>
  </si>
  <si>
    <t>Q_12_3</t>
  </si>
  <si>
    <t>S12_InformationOnFraudActivities</t>
  </si>
  <si>
    <t>NumberOfActivities</t>
  </si>
  <si>
    <t>Q_13_1</t>
  </si>
  <si>
    <t>S13_AnyOtherIssues</t>
  </si>
  <si>
    <t>OtherInformationOrIssues</t>
  </si>
  <si>
    <t xml:space="preserve">The highest tier approaches for major source streams or major emission sources of category C installations referred to in Article 19(2), point (c), of Implementing Regulation (EU) 2018/2066 are applied. </t>
  </si>
  <si>
    <t>Verifiers accredited by a national accreditation body in another Member State that carried out verification in Estonia for stationary installations were accredited in Finland and Latvia. Due to some reason the template did not allow to enter this under the table for this question. Aircraft operator was verified by the verifier accredited in Latvia.</t>
  </si>
  <si>
    <t xml:space="preserve">We tried to submit the information exchange report in accordance with Article 73(1) of Implementing Regulation (EU) 2018/2067 to Finland but we received an error message from the relevant contact. As we did not have any substantial information in the report we decided not to forward it to another recipient. </t>
  </si>
  <si>
    <t>No conservative estimations were made.</t>
  </si>
  <si>
    <t>For question 6.10 we would like to note that no tonne-kilometre reports were submitted.</t>
  </si>
  <si>
    <t>Such cases did not occur.</t>
  </si>
  <si>
    <t>According to the Atmospheric Air Protection Act paragraph 237. "Violation of requirements for emission allowances trading system" the violation of the requirements for the emission allowances trading system is punishable by a fine of up to 300 fine units. The same act, if committed by a legal person, is punishable by a fine of up to 32 000 euros.</t>
  </si>
  <si>
    <t>No infringements incurred and no penalties were imposed during the reporting period.</t>
  </si>
  <si>
    <t>No infringements occurred.</t>
  </si>
  <si>
    <t>We did not have such operators.</t>
  </si>
  <si>
    <t>We did not have any violations.</t>
  </si>
  <si>
    <t>We did not have such aircraft operators.</t>
  </si>
  <si>
    <t>We have no specific arrangements in place concerning fraudulent activities related to the free allocation of allowances but in case of fraudulent activites we can apply liability provisions in the Atmospheric Air Protection Act. According to the Atmospheric Air Protection Act paragraph 237 "Violation of requirements for emission allowances trading system" the violation of the requirements for the emission allowances trading system is punishable by a fine of up to 300 fine units. The same act, if committed by a legal person, is punishable by a fine of up to 32 000 euros.</t>
  </si>
  <si>
    <t>QuestionnaireSubQuestion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</si>
</sst>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663"/>
  <sheetViews>
    <sheetView topLeftCell="A641" workbookViewId="0">
      <selection activeCell="B663" sqref="B663"/>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1815</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2</v>
      </c>
      <c r="E10" t="s">
        <v>1447</v>
      </c>
      <c r="F10" t="s">
        <v>1814</v>
      </c>
      <c r="G10" t="s">
        <v>1797</v>
      </c>
      <c r="H10" t="s">
        <v>1816</v>
      </c>
      <c r="I10" t="s">
        <v>1799</v>
      </c>
      <c r="J10" t="s">
        <v>1799</v>
      </c>
      <c r="K10" t="s">
        <v>1799</v>
      </c>
      <c r="L10" t="s">
        <v>1799</v>
      </c>
      <c r="M10" t="s">
        <v>1799</v>
      </c>
      <c r="N10" t="s">
        <v>1799</v>
      </c>
      <c r="O10" s="184" t="str">
        <f>"["&amp;$C10&amp;"]["&amp;$D10&amp;"]["&amp;$F10&amp;"]"</f>
        <v>[S02_CompetentAuthority][2][CAName]</v>
      </c>
    </row>
    <row r="11" spans="1:18" x14ac:dyDescent="0.3">
      <c r="A11" t="s">
        <v>1793</v>
      </c>
      <c r="B11" t="s">
        <v>1812</v>
      </c>
      <c r="C11" t="s">
        <v>1813</v>
      </c>
      <c r="D11">
        <v>1</v>
      </c>
      <c r="E11" t="s">
        <v>1447</v>
      </c>
      <c r="F11" t="s">
        <v>1817</v>
      </c>
      <c r="G11" t="s">
        <v>1797</v>
      </c>
      <c r="H11" t="s">
        <v>1818</v>
      </c>
      <c r="I11" t="s">
        <v>1799</v>
      </c>
      <c r="J11" t="s">
        <v>1799</v>
      </c>
      <c r="K11" t="s">
        <v>1799</v>
      </c>
      <c r="L11" t="s">
        <v>1799</v>
      </c>
      <c r="M11" t="s">
        <v>1799</v>
      </c>
      <c r="N11" t="s">
        <v>1799</v>
      </c>
      <c r="O11" s="184" t="str">
        <f>"["&amp;$C11&amp;"]["&amp;$D11&amp;"]["&amp;$F11&amp;"]"</f>
        <v>[S02_CompetentAuthority][1][CAAbbreviation]</v>
      </c>
    </row>
    <row r="12" spans="1:18" x14ac:dyDescent="0.3">
      <c r="A12" t="s">
        <v>1793</v>
      </c>
      <c r="B12" t="s">
        <v>1812</v>
      </c>
      <c r="C12" t="s">
        <v>1813</v>
      </c>
      <c r="D12">
        <v>2</v>
      </c>
      <c r="E12" t="s">
        <v>1447</v>
      </c>
      <c r="F12" t="s">
        <v>1817</v>
      </c>
      <c r="G12" t="s">
        <v>1797</v>
      </c>
      <c r="H12" t="s">
        <v>1819</v>
      </c>
      <c r="I12" t="s">
        <v>1799</v>
      </c>
      <c r="J12" t="s">
        <v>1799</v>
      </c>
      <c r="K12" t="s">
        <v>1799</v>
      </c>
      <c r="L12" t="s">
        <v>1799</v>
      </c>
      <c r="M12" t="s">
        <v>1799</v>
      </c>
      <c r="N12" t="s">
        <v>1799</v>
      </c>
      <c r="O12" s="184" t="str">
        <f>"["&amp;$C12&amp;"]["&amp;$D12&amp;"]["&amp;$F12&amp;"]"</f>
        <v>[S02_CompetentAuthority][2][CAAbbreviation]</v>
      </c>
    </row>
    <row r="13" spans="1:18" x14ac:dyDescent="0.3">
      <c r="A13" t="s">
        <v>1793</v>
      </c>
      <c r="B13" t="s">
        <v>1812</v>
      </c>
      <c r="C13" t="s">
        <v>1813</v>
      </c>
      <c r="D13">
        <v>1</v>
      </c>
      <c r="E13" t="s">
        <v>1447</v>
      </c>
      <c r="F13" t="s">
        <v>1820</v>
      </c>
      <c r="G13" t="s">
        <v>1797</v>
      </c>
      <c r="H13" t="s">
        <v>1422</v>
      </c>
      <c r="I13" t="s">
        <v>1799</v>
      </c>
      <c r="J13" t="s">
        <v>1799</v>
      </c>
      <c r="K13" t="s">
        <v>1799</v>
      </c>
      <c r="L13" t="s">
        <v>1799</v>
      </c>
      <c r="M13" t="s">
        <v>1799</v>
      </c>
      <c r="N13" t="s">
        <v>1799</v>
      </c>
      <c r="O13" s="184" t="str">
        <f>"["&amp;$C13&amp;"]["&amp;$D13&amp;"]["&amp;$F13&amp;"]"</f>
        <v>[S02_CompetentAuthority][1][CAType]</v>
      </c>
    </row>
    <row r="14" spans="1:18" x14ac:dyDescent="0.3">
      <c r="A14" t="s">
        <v>1793</v>
      </c>
      <c r="B14" t="s">
        <v>1812</v>
      </c>
      <c r="C14" t="s">
        <v>1813</v>
      </c>
      <c r="D14">
        <v>2</v>
      </c>
      <c r="E14" t="s">
        <v>1447</v>
      </c>
      <c r="F14" t="s">
        <v>1820</v>
      </c>
      <c r="G14" t="s">
        <v>1797</v>
      </c>
      <c r="H14" t="s">
        <v>1422</v>
      </c>
      <c r="I14" t="s">
        <v>1799</v>
      </c>
      <c r="J14" t="s">
        <v>1799</v>
      </c>
      <c r="K14" t="s">
        <v>1799</v>
      </c>
      <c r="L14" t="s">
        <v>1799</v>
      </c>
      <c r="M14" t="s">
        <v>1799</v>
      </c>
      <c r="N14" t="s">
        <v>1799</v>
      </c>
      <c r="O14" s="184" t="str">
        <f>"["&amp;$C14&amp;"]["&amp;$D14&amp;"]["&amp;$F14&amp;"]"</f>
        <v>[S02_CompetentAuthority][2][CAType]</v>
      </c>
    </row>
    <row r="15" spans="1:18" x14ac:dyDescent="0.3">
      <c r="A15" t="s">
        <v>1793</v>
      </c>
      <c r="B15" t="s">
        <v>1812</v>
      </c>
      <c r="C15" t="s">
        <v>1813</v>
      </c>
      <c r="D15">
        <v>1</v>
      </c>
      <c r="E15" t="s">
        <v>1447</v>
      </c>
      <c r="F15" t="s">
        <v>1821</v>
      </c>
      <c r="G15" t="s">
        <v>1797</v>
      </c>
      <c r="H15" t="s">
        <v>1822</v>
      </c>
      <c r="I15" t="s">
        <v>1799</v>
      </c>
      <c r="J15" t="s">
        <v>1799</v>
      </c>
      <c r="K15" t="s">
        <v>1799</v>
      </c>
      <c r="L15" t="s">
        <v>1799</v>
      </c>
      <c r="M15" t="s">
        <v>1799</v>
      </c>
      <c r="N15" t="s">
        <v>1799</v>
      </c>
      <c r="O15" s="184" t="str">
        <f>"["&amp;$C15&amp;"]["&amp;$D15&amp;"]["&amp;$F15&amp;"]"</f>
        <v>[S02_CompetentAuthority][1][CATelephone]</v>
      </c>
    </row>
    <row r="16" spans="1:18" x14ac:dyDescent="0.3">
      <c r="A16" t="s">
        <v>1793</v>
      </c>
      <c r="B16" t="s">
        <v>1812</v>
      </c>
      <c r="C16" t="s">
        <v>1813</v>
      </c>
      <c r="D16">
        <v>2</v>
      </c>
      <c r="E16" t="s">
        <v>1447</v>
      </c>
      <c r="F16" t="s">
        <v>1821</v>
      </c>
      <c r="G16" t="s">
        <v>1797</v>
      </c>
      <c r="H16" t="s">
        <v>1807</v>
      </c>
      <c r="I16" t="s">
        <v>1799</v>
      </c>
      <c r="J16" t="s">
        <v>1799</v>
      </c>
      <c r="K16" t="s">
        <v>1799</v>
      </c>
      <c r="L16" t="s">
        <v>1799</v>
      </c>
      <c r="M16" t="s">
        <v>1799</v>
      </c>
      <c r="N16" t="s">
        <v>1799</v>
      </c>
      <c r="O16" s="184" t="str">
        <f>"["&amp;$C16&amp;"]["&amp;$D16&amp;"]["&amp;$F16&amp;"]"</f>
        <v>[S02_CompetentAuthority][2][CATelephone]</v>
      </c>
    </row>
    <row r="17" spans="1:15" x14ac:dyDescent="0.3">
      <c r="A17" t="s">
        <v>1793</v>
      </c>
      <c r="B17" t="s">
        <v>1812</v>
      </c>
      <c r="C17" t="s">
        <v>1813</v>
      </c>
      <c r="D17">
        <v>1</v>
      </c>
      <c r="E17" t="s">
        <v>1447</v>
      </c>
      <c r="F17" t="s">
        <v>1823</v>
      </c>
      <c r="G17" t="s">
        <v>1797</v>
      </c>
      <c r="H17" t="s">
        <v>1824</v>
      </c>
      <c r="I17" t="s">
        <v>1799</v>
      </c>
      <c r="J17" t="s">
        <v>1799</v>
      </c>
      <c r="K17" t="s">
        <v>1799</v>
      </c>
      <c r="L17" t="s">
        <v>1799</v>
      </c>
      <c r="M17" t="s">
        <v>1799</v>
      </c>
      <c r="N17" t="s">
        <v>1799</v>
      </c>
      <c r="O17" s="184" t="str">
        <f>"["&amp;$C17&amp;"]["&amp;$D17&amp;"]["&amp;$F17&amp;"]"</f>
        <v>[S02_CompetentAuthority][1][CAEmail]</v>
      </c>
    </row>
    <row r="18" spans="1:15" x14ac:dyDescent="0.3">
      <c r="A18" t="s">
        <v>1793</v>
      </c>
      <c r="B18" t="s">
        <v>1812</v>
      </c>
      <c r="C18" t="s">
        <v>1813</v>
      </c>
      <c r="D18">
        <v>2</v>
      </c>
      <c r="E18" t="s">
        <v>1447</v>
      </c>
      <c r="F18" t="s">
        <v>1823</v>
      </c>
      <c r="G18" t="s">
        <v>1797</v>
      </c>
      <c r="H18" t="s">
        <v>1809</v>
      </c>
      <c r="I18" t="s">
        <v>1799</v>
      </c>
      <c r="J18" t="s">
        <v>1799</v>
      </c>
      <c r="K18" t="s">
        <v>1799</v>
      </c>
      <c r="L18" t="s">
        <v>1799</v>
      </c>
      <c r="M18" t="s">
        <v>1799</v>
      </c>
      <c r="N18" t="s">
        <v>1799</v>
      </c>
      <c r="O18" s="184" t="str">
        <f>"["&amp;$C18&amp;"]["&amp;$D18&amp;"]["&amp;$F18&amp;"]"</f>
        <v>[S02_CompetentAuthority][2][CAEmail]</v>
      </c>
    </row>
    <row r="19" spans="1:15" x14ac:dyDescent="0.3">
      <c r="A19" t="s">
        <v>1793</v>
      </c>
      <c r="B19" t="s">
        <v>1812</v>
      </c>
      <c r="C19" t="s">
        <v>1813</v>
      </c>
      <c r="D19">
        <v>1</v>
      </c>
      <c r="E19" t="s">
        <v>1447</v>
      </c>
      <c r="F19" t="s">
        <v>1825</v>
      </c>
      <c r="G19" t="s">
        <v>1797</v>
      </c>
      <c r="H19" t="s">
        <v>1826</v>
      </c>
      <c r="I19" t="s">
        <v>1799</v>
      </c>
      <c r="J19" t="s">
        <v>1799</v>
      </c>
      <c r="K19" t="s">
        <v>1799</v>
      </c>
      <c r="L19" t="s">
        <v>1799</v>
      </c>
      <c r="M19" t="s">
        <v>1799</v>
      </c>
      <c r="N19" t="s">
        <v>1799</v>
      </c>
      <c r="O19" s="184" t="str">
        <f>"["&amp;$C19&amp;"]["&amp;$D19&amp;"]["&amp;$F19&amp;"]"</f>
        <v>[S02_CompetentAuthority][1][CAWebsite]</v>
      </c>
    </row>
    <row r="20" spans="1:15" x14ac:dyDescent="0.3">
      <c r="A20" t="s">
        <v>1793</v>
      </c>
      <c r="B20" t="s">
        <v>1812</v>
      </c>
      <c r="C20" t="s">
        <v>1813</v>
      </c>
      <c r="D20">
        <v>2</v>
      </c>
      <c r="E20" t="s">
        <v>1447</v>
      </c>
      <c r="F20" t="s">
        <v>1825</v>
      </c>
      <c r="G20" t="s">
        <v>1797</v>
      </c>
      <c r="H20" t="s">
        <v>1827</v>
      </c>
      <c r="I20" t="s">
        <v>1799</v>
      </c>
      <c r="J20" t="s">
        <v>1799</v>
      </c>
      <c r="K20" t="s">
        <v>1799</v>
      </c>
      <c r="L20" t="s">
        <v>1799</v>
      </c>
      <c r="M20" t="s">
        <v>1799</v>
      </c>
      <c r="N20" t="s">
        <v>1799</v>
      </c>
      <c r="O20" s="184" t="str">
        <f>"["&amp;$C20&amp;"]["&amp;$D20&amp;"]["&amp;$F20&amp;"]"</f>
        <v>[S02_CompetentAuthority][2][CAWebsite]</v>
      </c>
    </row>
    <row r="21" spans="1:15" x14ac:dyDescent="0.3">
      <c r="A21" t="s">
        <v>1793</v>
      </c>
      <c r="B21" t="s">
        <v>1812</v>
      </c>
      <c r="C21" t="s">
        <v>1828</v>
      </c>
      <c r="D21">
        <v>0</v>
      </c>
      <c r="E21" t="s">
        <v>1447</v>
      </c>
      <c r="F21" t="s">
        <v>1828</v>
      </c>
      <c r="G21" t="s">
        <v>1829</v>
      </c>
      <c r="H21" t="s">
        <v>1799</v>
      </c>
      <c r="I21" t="s">
        <v>1799</v>
      </c>
      <c r="J21" t="s">
        <v>1799</v>
      </c>
      <c r="K21" t="s">
        <v>1799</v>
      </c>
      <c r="L21" t="s">
        <v>1419</v>
      </c>
      <c r="M21" t="s">
        <v>1799</v>
      </c>
      <c r="N21" t="s">
        <v>1799</v>
      </c>
      <c r="O21" s="184" t="str">
        <f>"["&amp;$C21&amp;"]["&amp;$D21&amp;"]["&amp;$F21&amp;"]"</f>
        <v>[S02_AccreditationBodyYesNo][0][S02_AccreditationBodyYesNo]</v>
      </c>
    </row>
    <row r="22" spans="1:15" x14ac:dyDescent="0.3">
      <c r="A22" t="s">
        <v>1793</v>
      </c>
      <c r="B22" t="s">
        <v>1812</v>
      </c>
      <c r="C22" t="s">
        <v>1830</v>
      </c>
      <c r="D22">
        <v>1</v>
      </c>
      <c r="E22" t="s">
        <v>1447</v>
      </c>
      <c r="F22" t="s">
        <v>1831</v>
      </c>
      <c r="G22" t="s">
        <v>1797</v>
      </c>
      <c r="H22" t="s">
        <v>1832</v>
      </c>
      <c r="I22" t="s">
        <v>1799</v>
      </c>
      <c r="J22" t="s">
        <v>1799</v>
      </c>
      <c r="K22" t="s">
        <v>1799</v>
      </c>
      <c r="L22" t="s">
        <v>1799</v>
      </c>
      <c r="M22" t="s">
        <v>1799</v>
      </c>
      <c r="N22" t="s">
        <v>1799</v>
      </c>
      <c r="O22" s="184" t="str">
        <f>"["&amp;$C22&amp;"]["&amp;$D22&amp;"]["&amp;$F22&amp;"]"</f>
        <v>[S02_AccreditationBody][1][AccBodyName]</v>
      </c>
    </row>
    <row r="23" spans="1:15" x14ac:dyDescent="0.3">
      <c r="A23" t="s">
        <v>1793</v>
      </c>
      <c r="B23" t="s">
        <v>1812</v>
      </c>
      <c r="C23" t="s">
        <v>1830</v>
      </c>
      <c r="D23">
        <v>1</v>
      </c>
      <c r="E23" t="s">
        <v>1447</v>
      </c>
      <c r="F23" t="s">
        <v>1833</v>
      </c>
      <c r="G23" t="s">
        <v>1797</v>
      </c>
      <c r="H23" t="s">
        <v>1834</v>
      </c>
      <c r="I23" t="s">
        <v>1799</v>
      </c>
      <c r="J23" t="s">
        <v>1799</v>
      </c>
      <c r="K23" t="s">
        <v>1799</v>
      </c>
      <c r="L23" t="s">
        <v>1799</v>
      </c>
      <c r="M23" t="s">
        <v>1799</v>
      </c>
      <c r="N23" t="s">
        <v>1799</v>
      </c>
      <c r="O23" s="184" t="str">
        <f>"["&amp;$C23&amp;"]["&amp;$D23&amp;"]["&amp;$F23&amp;"]"</f>
        <v>[S02_AccreditationBody][1][AccBodyAbbreviation]</v>
      </c>
    </row>
    <row r="24" spans="1:15" x14ac:dyDescent="0.3">
      <c r="A24" t="s">
        <v>1793</v>
      </c>
      <c r="B24" t="s">
        <v>1812</v>
      </c>
      <c r="C24" t="s">
        <v>1830</v>
      </c>
      <c r="D24">
        <v>1</v>
      </c>
      <c r="E24" t="s">
        <v>1447</v>
      </c>
      <c r="F24" t="s">
        <v>1835</v>
      </c>
      <c r="G24" t="s">
        <v>1797</v>
      </c>
      <c r="H24" t="s">
        <v>1836</v>
      </c>
      <c r="I24" t="s">
        <v>1799</v>
      </c>
      <c r="J24" t="s">
        <v>1799</v>
      </c>
      <c r="K24" t="s">
        <v>1799</v>
      </c>
      <c r="L24" t="s">
        <v>1799</v>
      </c>
      <c r="M24" t="s">
        <v>1799</v>
      </c>
      <c r="N24" t="s">
        <v>1799</v>
      </c>
      <c r="O24" s="184" t="str">
        <f>"["&amp;$C24&amp;"]["&amp;$D24&amp;"]["&amp;$F24&amp;"]"</f>
        <v>[S02_AccreditationBody][1][AccBodyTelephone]</v>
      </c>
    </row>
    <row r="25" spans="1:15" x14ac:dyDescent="0.3">
      <c r="A25" t="s">
        <v>1793</v>
      </c>
      <c r="B25" t="s">
        <v>1812</v>
      </c>
      <c r="C25" t="s">
        <v>1830</v>
      </c>
      <c r="D25">
        <v>1</v>
      </c>
      <c r="E25" t="s">
        <v>1447</v>
      </c>
      <c r="F25" t="s">
        <v>1837</v>
      </c>
      <c r="G25" t="s">
        <v>1797</v>
      </c>
      <c r="H25" t="s">
        <v>1838</v>
      </c>
      <c r="I25" t="s">
        <v>1799</v>
      </c>
      <c r="J25" t="s">
        <v>1799</v>
      </c>
      <c r="K25" t="s">
        <v>1799</v>
      </c>
      <c r="L25" t="s">
        <v>1799</v>
      </c>
      <c r="M25" t="s">
        <v>1799</v>
      </c>
      <c r="N25" t="s">
        <v>1799</v>
      </c>
      <c r="O25" s="184" t="str">
        <f>"["&amp;$C25&amp;"]["&amp;$D25&amp;"]["&amp;$F25&amp;"]"</f>
        <v>[S02_AccreditationBody][1][AccBodyEmail]</v>
      </c>
    </row>
    <row r="26" spans="1:15" x14ac:dyDescent="0.3">
      <c r="A26" t="s">
        <v>1793</v>
      </c>
      <c r="B26" t="s">
        <v>1812</v>
      </c>
      <c r="C26" t="s">
        <v>1830</v>
      </c>
      <c r="D26">
        <v>1</v>
      </c>
      <c r="E26" t="s">
        <v>1447</v>
      </c>
      <c r="F26" t="s">
        <v>1839</v>
      </c>
      <c r="G26" t="s">
        <v>1797</v>
      </c>
      <c r="H26" t="s">
        <v>1840</v>
      </c>
      <c r="I26" t="s">
        <v>1799</v>
      </c>
      <c r="J26" t="s">
        <v>1799</v>
      </c>
      <c r="K26" t="s">
        <v>1799</v>
      </c>
      <c r="L26" t="s">
        <v>1799</v>
      </c>
      <c r="M26" t="s">
        <v>1799</v>
      </c>
      <c r="N26" t="s">
        <v>1799</v>
      </c>
      <c r="O26" s="184" t="str">
        <f>"["&amp;$C26&amp;"]["&amp;$D26&amp;"]["&amp;$F26&amp;"]"</f>
        <v>[S02_AccreditationBody][1][AccBodyWebsite]</v>
      </c>
    </row>
    <row r="27" spans="1:15" x14ac:dyDescent="0.3">
      <c r="A27" t="s">
        <v>1793</v>
      </c>
      <c r="B27" t="s">
        <v>1812</v>
      </c>
      <c r="C27" t="s">
        <v>1841</v>
      </c>
      <c r="D27">
        <v>0</v>
      </c>
      <c r="E27" t="s">
        <v>1447</v>
      </c>
      <c r="F27" t="s">
        <v>1841</v>
      </c>
      <c r="G27" t="s">
        <v>1829</v>
      </c>
      <c r="H27" t="s">
        <v>1799</v>
      </c>
      <c r="I27" t="s">
        <v>1799</v>
      </c>
      <c r="J27" t="s">
        <v>1799</v>
      </c>
      <c r="K27" t="s">
        <v>1799</v>
      </c>
      <c r="L27" t="s">
        <v>1447</v>
      </c>
      <c r="M27" t="s">
        <v>1799</v>
      </c>
      <c r="N27" t="s">
        <v>1799</v>
      </c>
      <c r="O27" s="184" t="str">
        <f>"["&amp;$C27&amp;"]["&amp;$D27&amp;"]["&amp;$F27&amp;"]"</f>
        <v>[CertificationBodySetUp][0][CertificationBodySetUp]</v>
      </c>
    </row>
    <row r="28" spans="1:15" x14ac:dyDescent="0.3">
      <c r="A28" t="s">
        <v>1793</v>
      </c>
      <c r="B28" t="s">
        <v>1812</v>
      </c>
      <c r="C28" t="s">
        <v>1842</v>
      </c>
      <c r="D28">
        <v>1</v>
      </c>
      <c r="E28" t="s">
        <v>1447</v>
      </c>
      <c r="F28" t="s">
        <v>1843</v>
      </c>
      <c r="G28" t="s">
        <v>1797</v>
      </c>
      <c r="H28" t="s">
        <v>1844</v>
      </c>
      <c r="I28" t="s">
        <v>1799</v>
      </c>
      <c r="J28" t="s">
        <v>1799</v>
      </c>
      <c r="K28" t="s">
        <v>1799</v>
      </c>
      <c r="L28" t="s">
        <v>1799</v>
      </c>
      <c r="M28" t="s">
        <v>1799</v>
      </c>
      <c r="N28" t="s">
        <v>1799</v>
      </c>
      <c r="O28" s="184" t="str">
        <f>"["&amp;$C28&amp;"]["&amp;$D28&amp;"]["&amp;$F28&amp;"]"</f>
        <v>[S02_RegistryAdministrator][1][RegAdminName]</v>
      </c>
    </row>
    <row r="29" spans="1:15" x14ac:dyDescent="0.3">
      <c r="A29" t="s">
        <v>1793</v>
      </c>
      <c r="B29" t="s">
        <v>1812</v>
      </c>
      <c r="C29" t="s">
        <v>1842</v>
      </c>
      <c r="D29">
        <v>1</v>
      </c>
      <c r="E29" t="s">
        <v>1447</v>
      </c>
      <c r="F29" t="s">
        <v>1845</v>
      </c>
      <c r="G29" t="s">
        <v>1797</v>
      </c>
      <c r="H29" t="s">
        <v>1819</v>
      </c>
      <c r="I29" t="s">
        <v>1799</v>
      </c>
      <c r="J29" t="s">
        <v>1799</v>
      </c>
      <c r="K29" t="s">
        <v>1799</v>
      </c>
      <c r="L29" t="s">
        <v>1799</v>
      </c>
      <c r="M29" t="s">
        <v>1799</v>
      </c>
      <c r="N29" t="s">
        <v>1799</v>
      </c>
      <c r="O29" s="184" t="str">
        <f>"["&amp;$C29&amp;"]["&amp;$D29&amp;"]["&amp;$F29&amp;"]"</f>
        <v>[S02_RegistryAdministrator][1][RegAdminAbbreviation]</v>
      </c>
    </row>
    <row r="30" spans="1:15" x14ac:dyDescent="0.3">
      <c r="A30" t="s">
        <v>1793</v>
      </c>
      <c r="B30" t="s">
        <v>1812</v>
      </c>
      <c r="C30" t="s">
        <v>1842</v>
      </c>
      <c r="D30">
        <v>1</v>
      </c>
      <c r="E30" t="s">
        <v>1447</v>
      </c>
      <c r="F30" t="s">
        <v>1846</v>
      </c>
      <c r="G30" t="s">
        <v>1797</v>
      </c>
      <c r="H30" t="s">
        <v>1847</v>
      </c>
      <c r="I30" t="s">
        <v>1799</v>
      </c>
      <c r="J30" t="s">
        <v>1799</v>
      </c>
      <c r="K30" t="s">
        <v>1799</v>
      </c>
      <c r="L30" t="s">
        <v>1799</v>
      </c>
      <c r="M30" t="s">
        <v>1799</v>
      </c>
      <c r="N30" t="s">
        <v>1799</v>
      </c>
      <c r="O30" s="184" t="str">
        <f>"["&amp;$C30&amp;"]["&amp;$D30&amp;"]["&amp;$F30&amp;"]"</f>
        <v>[S02_RegistryAdministrator][1][RegAdminTelephone]</v>
      </c>
    </row>
    <row r="31" spans="1:15" x14ac:dyDescent="0.3">
      <c r="A31" t="s">
        <v>1793</v>
      </c>
      <c r="B31" t="s">
        <v>1812</v>
      </c>
      <c r="C31" t="s">
        <v>1842</v>
      </c>
      <c r="D31">
        <v>1</v>
      </c>
      <c r="E31" t="s">
        <v>1447</v>
      </c>
      <c r="F31" t="s">
        <v>1848</v>
      </c>
      <c r="G31" t="s">
        <v>1797</v>
      </c>
      <c r="H31" t="s">
        <v>1849</v>
      </c>
      <c r="I31" t="s">
        <v>1799</v>
      </c>
      <c r="J31" t="s">
        <v>1799</v>
      </c>
      <c r="K31" t="s">
        <v>1799</v>
      </c>
      <c r="L31" t="s">
        <v>1799</v>
      </c>
      <c r="M31" t="s">
        <v>1799</v>
      </c>
      <c r="N31" t="s">
        <v>1799</v>
      </c>
      <c r="O31" s="184" t="str">
        <f>"["&amp;$C31&amp;"]["&amp;$D31&amp;"]["&amp;$F31&amp;"]"</f>
        <v>[S02_RegistryAdministrator][1][RegAdminEmail]</v>
      </c>
    </row>
    <row r="32" spans="1:15" x14ac:dyDescent="0.3">
      <c r="A32" t="s">
        <v>1793</v>
      </c>
      <c r="B32" t="s">
        <v>1812</v>
      </c>
      <c r="C32" t="s">
        <v>1842</v>
      </c>
      <c r="D32">
        <v>1</v>
      </c>
      <c r="E32" t="s">
        <v>1447</v>
      </c>
      <c r="F32" t="s">
        <v>1850</v>
      </c>
      <c r="G32" t="s">
        <v>1797</v>
      </c>
      <c r="H32" t="s">
        <v>1851</v>
      </c>
      <c r="I32" t="s">
        <v>1799</v>
      </c>
      <c r="J32" t="s">
        <v>1799</v>
      </c>
      <c r="K32" t="s">
        <v>1799</v>
      </c>
      <c r="L32" t="s">
        <v>1799</v>
      </c>
      <c r="M32" t="s">
        <v>1799</v>
      </c>
      <c r="N32" t="s">
        <v>1799</v>
      </c>
      <c r="O32" s="184" t="str">
        <f>"["&amp;$C32&amp;"]["&amp;$D32&amp;"]["&amp;$F32&amp;"]"</f>
        <v>[S02_RegistryAdministrator][1][RegAdminWebsite]</v>
      </c>
    </row>
    <row r="33" spans="1:15" x14ac:dyDescent="0.3">
      <c r="A33" t="s">
        <v>1793</v>
      </c>
      <c r="B33" t="s">
        <v>1852</v>
      </c>
      <c r="C33" t="s">
        <v>1853</v>
      </c>
      <c r="D33">
        <v>1</v>
      </c>
      <c r="E33" t="s">
        <v>1447</v>
      </c>
      <c r="F33" t="s">
        <v>1854</v>
      </c>
      <c r="G33" t="s">
        <v>1797</v>
      </c>
      <c r="H33" t="s">
        <v>1819</v>
      </c>
      <c r="I33" t="s">
        <v>1799</v>
      </c>
      <c r="J33" t="s">
        <v>1799</v>
      </c>
      <c r="K33" t="s">
        <v>1799</v>
      </c>
      <c r="L33" t="s">
        <v>1799</v>
      </c>
      <c r="M33" t="s">
        <v>1799</v>
      </c>
      <c r="N33" t="s">
        <v>1799</v>
      </c>
      <c r="O33" s="184" t="str">
        <f>"["&amp;$C33&amp;"]["&amp;$D33&amp;"]["&amp;$F33&amp;"]"</f>
        <v>[S02_CompetentAuthorityRoles][1][CAForInstallationTask]</v>
      </c>
    </row>
    <row r="34" spans="1:15" x14ac:dyDescent="0.3">
      <c r="A34" t="s">
        <v>1793</v>
      </c>
      <c r="B34" t="s">
        <v>1852</v>
      </c>
      <c r="C34" t="s">
        <v>1853</v>
      </c>
      <c r="D34">
        <v>2</v>
      </c>
      <c r="E34" t="s">
        <v>1447</v>
      </c>
      <c r="F34" t="s">
        <v>1854</v>
      </c>
      <c r="G34" t="s">
        <v>1797</v>
      </c>
      <c r="H34" t="s">
        <v>1819</v>
      </c>
      <c r="I34" t="s">
        <v>1799</v>
      </c>
      <c r="J34" t="s">
        <v>1799</v>
      </c>
      <c r="K34" t="s">
        <v>1799</v>
      </c>
      <c r="L34" t="s">
        <v>1799</v>
      </c>
      <c r="M34" t="s">
        <v>1799</v>
      </c>
      <c r="N34" t="s">
        <v>1799</v>
      </c>
      <c r="O34" s="184" t="str">
        <f>"["&amp;$C34&amp;"]["&amp;$D34&amp;"]["&amp;$F34&amp;"]"</f>
        <v>[S02_CompetentAuthorityRoles][2][CAForInstallationTask]</v>
      </c>
    </row>
    <row r="35" spans="1:15" x14ac:dyDescent="0.3">
      <c r="A35" t="s">
        <v>1793</v>
      </c>
      <c r="B35" t="s">
        <v>1852</v>
      </c>
      <c r="C35" t="s">
        <v>1853</v>
      </c>
      <c r="D35">
        <v>3</v>
      </c>
      <c r="E35" t="s">
        <v>1447</v>
      </c>
      <c r="F35" t="s">
        <v>1854</v>
      </c>
      <c r="G35" t="s">
        <v>1797</v>
      </c>
      <c r="H35" t="s">
        <v>1819</v>
      </c>
      <c r="I35" t="s">
        <v>1799</v>
      </c>
      <c r="J35" t="s">
        <v>1799</v>
      </c>
      <c r="K35" t="s">
        <v>1799</v>
      </c>
      <c r="L35" t="s">
        <v>1799</v>
      </c>
      <c r="M35" t="s">
        <v>1799</v>
      </c>
      <c r="N35" t="s">
        <v>1799</v>
      </c>
      <c r="O35" s="184" t="str">
        <f>"["&amp;$C35&amp;"]["&amp;$D35&amp;"]["&amp;$F35&amp;"]"</f>
        <v>[S02_CompetentAuthorityRoles][3][CAForInstallationTask]</v>
      </c>
    </row>
    <row r="36" spans="1:15" x14ac:dyDescent="0.3">
      <c r="A36" t="s">
        <v>1793</v>
      </c>
      <c r="B36" t="s">
        <v>1852</v>
      </c>
      <c r="C36" t="s">
        <v>1853</v>
      </c>
      <c r="D36">
        <v>4</v>
      </c>
      <c r="E36" t="s">
        <v>1447</v>
      </c>
      <c r="F36" t="s">
        <v>1854</v>
      </c>
      <c r="G36" t="s">
        <v>1797</v>
      </c>
      <c r="H36" t="s">
        <v>1819</v>
      </c>
      <c r="I36" t="s">
        <v>1799</v>
      </c>
      <c r="J36" t="s">
        <v>1799</v>
      </c>
      <c r="K36" t="s">
        <v>1799</v>
      </c>
      <c r="L36" t="s">
        <v>1799</v>
      </c>
      <c r="M36" t="s">
        <v>1799</v>
      </c>
      <c r="N36" t="s">
        <v>1799</v>
      </c>
      <c r="O36" s="184" t="str">
        <f>"["&amp;$C36&amp;"]["&amp;$D36&amp;"]["&amp;$F36&amp;"]"</f>
        <v>[S02_CompetentAuthorityRoles][4][CAForInstallationTask]</v>
      </c>
    </row>
    <row r="37" spans="1:15" x14ac:dyDescent="0.3">
      <c r="A37" t="s">
        <v>1793</v>
      </c>
      <c r="B37" t="s">
        <v>1852</v>
      </c>
      <c r="C37" t="s">
        <v>1853</v>
      </c>
      <c r="D37">
        <v>6</v>
      </c>
      <c r="E37" t="s">
        <v>1447</v>
      </c>
      <c r="F37" t="s">
        <v>1854</v>
      </c>
      <c r="G37" t="s">
        <v>1797</v>
      </c>
      <c r="H37" t="s">
        <v>1818</v>
      </c>
      <c r="I37" t="s">
        <v>1799</v>
      </c>
      <c r="J37" t="s">
        <v>1799</v>
      </c>
      <c r="K37" t="s">
        <v>1799</v>
      </c>
      <c r="L37" t="s">
        <v>1799</v>
      </c>
      <c r="M37" t="s">
        <v>1799</v>
      </c>
      <c r="N37" t="s">
        <v>1799</v>
      </c>
      <c r="O37" s="184" t="str">
        <f>"["&amp;$C37&amp;"]["&amp;$D37&amp;"]["&amp;$F37&amp;"]"</f>
        <v>[S02_CompetentAuthorityRoles][6][CAForInstallationTask]</v>
      </c>
    </row>
    <row r="38" spans="1:15" x14ac:dyDescent="0.3">
      <c r="A38" t="s">
        <v>1793</v>
      </c>
      <c r="B38" t="s">
        <v>1852</v>
      </c>
      <c r="C38" t="s">
        <v>1853</v>
      </c>
      <c r="D38">
        <v>7</v>
      </c>
      <c r="E38" t="s">
        <v>1447</v>
      </c>
      <c r="F38" t="s">
        <v>1854</v>
      </c>
      <c r="G38" t="s">
        <v>1797</v>
      </c>
      <c r="H38" t="s">
        <v>1819</v>
      </c>
      <c r="I38" t="s">
        <v>1799</v>
      </c>
      <c r="J38" t="s">
        <v>1799</v>
      </c>
      <c r="K38" t="s">
        <v>1799</v>
      </c>
      <c r="L38" t="s">
        <v>1799</v>
      </c>
      <c r="M38" t="s">
        <v>1799</v>
      </c>
      <c r="N38" t="s">
        <v>1799</v>
      </c>
      <c r="O38" s="184" t="str">
        <f>"["&amp;$C38&amp;"]["&amp;$D38&amp;"]["&amp;$F38&amp;"]"</f>
        <v>[S02_CompetentAuthorityRoles][7][CAForInstallationTask]</v>
      </c>
    </row>
    <row r="39" spans="1:15" x14ac:dyDescent="0.3">
      <c r="A39" t="s">
        <v>1793</v>
      </c>
      <c r="B39" t="s">
        <v>1852</v>
      </c>
      <c r="C39" t="s">
        <v>1853</v>
      </c>
      <c r="D39">
        <v>8</v>
      </c>
      <c r="E39" t="s">
        <v>1447</v>
      </c>
      <c r="F39" t="s">
        <v>1854</v>
      </c>
      <c r="G39" t="s">
        <v>1797</v>
      </c>
      <c r="H39" t="s">
        <v>1819</v>
      </c>
      <c r="I39" t="s">
        <v>1799</v>
      </c>
      <c r="J39" t="s">
        <v>1799</v>
      </c>
      <c r="K39" t="s">
        <v>1799</v>
      </c>
      <c r="L39" t="s">
        <v>1799</v>
      </c>
      <c r="M39" t="s">
        <v>1799</v>
      </c>
      <c r="N39" t="s">
        <v>1799</v>
      </c>
      <c r="O39" s="184" t="str">
        <f>"["&amp;$C39&amp;"]["&amp;$D39&amp;"]["&amp;$F39&amp;"]"</f>
        <v>[S02_CompetentAuthorityRoles][8][CAForInstallationTask]</v>
      </c>
    </row>
    <row r="40" spans="1:15" x14ac:dyDescent="0.3">
      <c r="A40" t="s">
        <v>1793</v>
      </c>
      <c r="B40" t="s">
        <v>1852</v>
      </c>
      <c r="C40" t="s">
        <v>1853</v>
      </c>
      <c r="D40">
        <v>9</v>
      </c>
      <c r="E40" t="s">
        <v>1447</v>
      </c>
      <c r="F40" t="s">
        <v>1854</v>
      </c>
      <c r="G40" t="s">
        <v>1797</v>
      </c>
      <c r="H40" t="s">
        <v>1819</v>
      </c>
      <c r="I40" t="s">
        <v>1799</v>
      </c>
      <c r="J40" t="s">
        <v>1799</v>
      </c>
      <c r="K40" t="s">
        <v>1799</v>
      </c>
      <c r="L40" t="s">
        <v>1799</v>
      </c>
      <c r="M40" t="s">
        <v>1799</v>
      </c>
      <c r="N40" t="s">
        <v>1799</v>
      </c>
      <c r="O40" s="184" t="str">
        <f>"["&amp;$C40&amp;"]["&amp;$D40&amp;"]["&amp;$F40&amp;"]"</f>
        <v>[S02_CompetentAuthorityRoles][9][CAForInstallationTask]</v>
      </c>
    </row>
    <row r="41" spans="1:15" x14ac:dyDescent="0.3">
      <c r="A41" t="s">
        <v>1793</v>
      </c>
      <c r="B41" t="s">
        <v>1852</v>
      </c>
      <c r="C41" t="s">
        <v>1853</v>
      </c>
      <c r="D41">
        <v>10</v>
      </c>
      <c r="E41" t="s">
        <v>1447</v>
      </c>
      <c r="F41" t="s">
        <v>1854</v>
      </c>
      <c r="G41" t="s">
        <v>1797</v>
      </c>
      <c r="H41" t="s">
        <v>1819</v>
      </c>
      <c r="I41" t="s">
        <v>1799</v>
      </c>
      <c r="J41" t="s">
        <v>1799</v>
      </c>
      <c r="K41" t="s">
        <v>1799</v>
      </c>
      <c r="L41" t="s">
        <v>1799</v>
      </c>
      <c r="M41" t="s">
        <v>1799</v>
      </c>
      <c r="N41" t="s">
        <v>1799</v>
      </c>
      <c r="O41" s="184" t="str">
        <f>"["&amp;$C41&amp;"]["&amp;$D41&amp;"]["&amp;$F41&amp;"]"</f>
        <v>[S02_CompetentAuthorityRoles][10][CAForInstallationTask]</v>
      </c>
    </row>
    <row r="42" spans="1:15" x14ac:dyDescent="0.3">
      <c r="A42" t="s">
        <v>1793</v>
      </c>
      <c r="B42" t="s">
        <v>1852</v>
      </c>
      <c r="C42" t="s">
        <v>1853</v>
      </c>
      <c r="D42">
        <v>11</v>
      </c>
      <c r="E42" t="s">
        <v>1447</v>
      </c>
      <c r="F42" t="s">
        <v>1854</v>
      </c>
      <c r="G42" t="s">
        <v>1797</v>
      </c>
      <c r="H42" t="s">
        <v>1819</v>
      </c>
      <c r="I42" t="s">
        <v>1799</v>
      </c>
      <c r="J42" t="s">
        <v>1799</v>
      </c>
      <c r="K42" t="s">
        <v>1799</v>
      </c>
      <c r="L42" t="s">
        <v>1799</v>
      </c>
      <c r="M42" t="s">
        <v>1799</v>
      </c>
      <c r="N42" t="s">
        <v>1799</v>
      </c>
      <c r="O42" s="184" t="str">
        <f>"["&amp;$C42&amp;"]["&amp;$D42&amp;"]["&amp;$F42&amp;"]"</f>
        <v>[S02_CompetentAuthorityRoles][11][CAForInstallationTask]</v>
      </c>
    </row>
    <row r="43" spans="1:15" x14ac:dyDescent="0.3">
      <c r="A43" t="s">
        <v>1793</v>
      </c>
      <c r="B43" t="s">
        <v>1852</v>
      </c>
      <c r="C43" t="s">
        <v>1853</v>
      </c>
      <c r="D43">
        <v>5</v>
      </c>
      <c r="E43" t="s">
        <v>1447</v>
      </c>
      <c r="F43" t="s">
        <v>1855</v>
      </c>
      <c r="G43" t="s">
        <v>1797</v>
      </c>
      <c r="H43" t="s">
        <v>1819</v>
      </c>
      <c r="I43" t="s">
        <v>1799</v>
      </c>
      <c r="J43" t="s">
        <v>1799</v>
      </c>
      <c r="K43" t="s">
        <v>1799</v>
      </c>
      <c r="L43" t="s">
        <v>1799</v>
      </c>
      <c r="M43" t="s">
        <v>1799</v>
      </c>
      <c r="N43" t="s">
        <v>1799</v>
      </c>
      <c r="O43" s="184" t="str">
        <f>"["&amp;$C43&amp;"]["&amp;$D43&amp;"]["&amp;$F43&amp;"]"</f>
        <v>[S02_CompetentAuthorityRoles][5][CAForAviationTask]</v>
      </c>
    </row>
    <row r="44" spans="1:15" x14ac:dyDescent="0.3">
      <c r="A44" t="s">
        <v>1793</v>
      </c>
      <c r="B44" t="s">
        <v>1852</v>
      </c>
      <c r="C44" t="s">
        <v>1853</v>
      </c>
      <c r="D44">
        <v>6</v>
      </c>
      <c r="E44" t="s">
        <v>1447</v>
      </c>
      <c r="F44" t="s">
        <v>1855</v>
      </c>
      <c r="G44" t="s">
        <v>1797</v>
      </c>
      <c r="H44" t="s">
        <v>1818</v>
      </c>
      <c r="I44" t="s">
        <v>1799</v>
      </c>
      <c r="J44" t="s">
        <v>1799</v>
      </c>
      <c r="K44" t="s">
        <v>1799</v>
      </c>
      <c r="L44" t="s">
        <v>1799</v>
      </c>
      <c r="M44" t="s">
        <v>1799</v>
      </c>
      <c r="N44" t="s">
        <v>1799</v>
      </c>
      <c r="O44" s="184" t="str">
        <f>"["&amp;$C44&amp;"]["&amp;$D44&amp;"]["&amp;$F44&amp;"]"</f>
        <v>[S02_CompetentAuthorityRoles][6][CAForAviationTask]</v>
      </c>
    </row>
    <row r="45" spans="1:15" x14ac:dyDescent="0.3">
      <c r="A45" t="s">
        <v>1793</v>
      </c>
      <c r="B45" t="s">
        <v>1852</v>
      </c>
      <c r="C45" t="s">
        <v>1853</v>
      </c>
      <c r="D45">
        <v>7</v>
      </c>
      <c r="E45" t="s">
        <v>1447</v>
      </c>
      <c r="F45" t="s">
        <v>1855</v>
      </c>
      <c r="G45" t="s">
        <v>1797</v>
      </c>
      <c r="H45" t="s">
        <v>1819</v>
      </c>
      <c r="I45" t="s">
        <v>1799</v>
      </c>
      <c r="J45" t="s">
        <v>1799</v>
      </c>
      <c r="K45" t="s">
        <v>1799</v>
      </c>
      <c r="L45" t="s">
        <v>1799</v>
      </c>
      <c r="M45" t="s">
        <v>1799</v>
      </c>
      <c r="N45" t="s">
        <v>1799</v>
      </c>
      <c r="O45" s="184" t="str">
        <f>"["&amp;$C45&amp;"]["&amp;$D45&amp;"]["&amp;$F45&amp;"]"</f>
        <v>[S02_CompetentAuthorityRoles][7][CAForAviationTask]</v>
      </c>
    </row>
    <row r="46" spans="1:15" x14ac:dyDescent="0.3">
      <c r="A46" t="s">
        <v>1793</v>
      </c>
      <c r="B46" t="s">
        <v>1852</v>
      </c>
      <c r="C46" t="s">
        <v>1853</v>
      </c>
      <c r="D46">
        <v>8</v>
      </c>
      <c r="E46" t="s">
        <v>1447</v>
      </c>
      <c r="F46" t="s">
        <v>1855</v>
      </c>
      <c r="G46" t="s">
        <v>1797</v>
      </c>
      <c r="H46" t="s">
        <v>1819</v>
      </c>
      <c r="I46" t="s">
        <v>1799</v>
      </c>
      <c r="J46" t="s">
        <v>1799</v>
      </c>
      <c r="K46" t="s">
        <v>1799</v>
      </c>
      <c r="L46" t="s">
        <v>1799</v>
      </c>
      <c r="M46" t="s">
        <v>1799</v>
      </c>
      <c r="N46" t="s">
        <v>1799</v>
      </c>
      <c r="O46" s="184" t="str">
        <f>"["&amp;$C46&amp;"]["&amp;$D46&amp;"]["&amp;$F46&amp;"]"</f>
        <v>[S02_CompetentAuthorityRoles][8][CAForAviationTask]</v>
      </c>
    </row>
    <row r="47" spans="1:15" x14ac:dyDescent="0.3">
      <c r="A47" t="s">
        <v>1793</v>
      </c>
      <c r="B47" t="s">
        <v>1852</v>
      </c>
      <c r="C47" t="s">
        <v>1853</v>
      </c>
      <c r="D47">
        <v>9</v>
      </c>
      <c r="E47" t="s">
        <v>1447</v>
      </c>
      <c r="F47" t="s">
        <v>1855</v>
      </c>
      <c r="G47" t="s">
        <v>1797</v>
      </c>
      <c r="H47" t="s">
        <v>1819</v>
      </c>
      <c r="I47" t="s">
        <v>1799</v>
      </c>
      <c r="J47" t="s">
        <v>1799</v>
      </c>
      <c r="K47" t="s">
        <v>1799</v>
      </c>
      <c r="L47" t="s">
        <v>1799</v>
      </c>
      <c r="M47" t="s">
        <v>1799</v>
      </c>
      <c r="N47" t="s">
        <v>1799</v>
      </c>
      <c r="O47" s="184" t="str">
        <f>"["&amp;$C47&amp;"]["&amp;$D47&amp;"]["&amp;$F47&amp;"]"</f>
        <v>[S02_CompetentAuthorityRoles][9][CAForAviationTask]</v>
      </c>
    </row>
    <row r="48" spans="1:15" x14ac:dyDescent="0.3">
      <c r="A48" t="s">
        <v>1793</v>
      </c>
      <c r="B48" t="s">
        <v>1852</v>
      </c>
      <c r="C48" t="s">
        <v>1853</v>
      </c>
      <c r="D48">
        <v>10</v>
      </c>
      <c r="E48" t="s">
        <v>1447</v>
      </c>
      <c r="F48" t="s">
        <v>1855</v>
      </c>
      <c r="G48" t="s">
        <v>1797</v>
      </c>
      <c r="H48" t="s">
        <v>1819</v>
      </c>
      <c r="I48" t="s">
        <v>1799</v>
      </c>
      <c r="J48" t="s">
        <v>1799</v>
      </c>
      <c r="K48" t="s">
        <v>1799</v>
      </c>
      <c r="L48" t="s">
        <v>1799</v>
      </c>
      <c r="M48" t="s">
        <v>1799</v>
      </c>
      <c r="N48" t="s">
        <v>1799</v>
      </c>
      <c r="O48" s="184" t="str">
        <f>"["&amp;$C48&amp;"]["&amp;$D48&amp;"]["&amp;$F48&amp;"]"</f>
        <v>[S02_CompetentAuthorityRoles][10][CAForAviationTask]</v>
      </c>
    </row>
    <row r="49" spans="1:15" x14ac:dyDescent="0.3">
      <c r="A49" t="s">
        <v>1793</v>
      </c>
      <c r="B49" t="s">
        <v>1852</v>
      </c>
      <c r="C49" t="s">
        <v>1853</v>
      </c>
      <c r="D49">
        <v>11</v>
      </c>
      <c r="E49" t="s">
        <v>1447</v>
      </c>
      <c r="F49" t="s">
        <v>1855</v>
      </c>
      <c r="G49" t="s">
        <v>1797</v>
      </c>
      <c r="H49" t="s">
        <v>1819</v>
      </c>
      <c r="I49" t="s">
        <v>1799</v>
      </c>
      <c r="J49" t="s">
        <v>1799</v>
      </c>
      <c r="K49" t="s">
        <v>1799</v>
      </c>
      <c r="L49" t="s">
        <v>1799</v>
      </c>
      <c r="M49" t="s">
        <v>1799</v>
      </c>
      <c r="N49" t="s">
        <v>1799</v>
      </c>
      <c r="O49" s="184" t="str">
        <f>"["&amp;$C49&amp;"]["&amp;$D49&amp;"]["&amp;$F49&amp;"]"</f>
        <v>[S02_CompetentAuthorityRoles][11][CAForAviationTask]</v>
      </c>
    </row>
    <row r="50" spans="1:15" x14ac:dyDescent="0.3">
      <c r="A50" t="s">
        <v>1793</v>
      </c>
      <c r="B50" t="s">
        <v>1856</v>
      </c>
      <c r="C50" t="s">
        <v>1857</v>
      </c>
      <c r="D50">
        <v>0</v>
      </c>
      <c r="E50" t="s">
        <v>1447</v>
      </c>
      <c r="F50" t="s">
        <v>1858</v>
      </c>
      <c r="G50" t="s">
        <v>1797</v>
      </c>
      <c r="H50" t="s">
        <v>1816</v>
      </c>
      <c r="I50" t="s">
        <v>1799</v>
      </c>
      <c r="J50" t="s">
        <v>1799</v>
      </c>
      <c r="K50" t="s">
        <v>1799</v>
      </c>
      <c r="L50" t="s">
        <v>1799</v>
      </c>
      <c r="M50" t="s">
        <v>1799</v>
      </c>
      <c r="N50" t="s">
        <v>1799</v>
      </c>
      <c r="O50" s="184" t="str">
        <f>"["&amp;$C50&amp;"]["&amp;$D50&amp;"]["&amp;$F50&amp;"]"</f>
        <v>[S02_CAFocalPoint][0][CAArt70]</v>
      </c>
    </row>
    <row r="51" spans="1:15" x14ac:dyDescent="0.3">
      <c r="A51" t="s">
        <v>1793</v>
      </c>
      <c r="B51" t="s">
        <v>1856</v>
      </c>
      <c r="C51" t="s">
        <v>1857</v>
      </c>
      <c r="D51">
        <v>0</v>
      </c>
      <c r="E51" t="s">
        <v>1447</v>
      </c>
      <c r="F51" t="s">
        <v>1859</v>
      </c>
      <c r="G51" t="s">
        <v>1797</v>
      </c>
      <c r="H51" t="s">
        <v>1819</v>
      </c>
      <c r="I51" t="s">
        <v>1799</v>
      </c>
      <c r="J51" t="s">
        <v>1799</v>
      </c>
      <c r="K51" t="s">
        <v>1799</v>
      </c>
      <c r="L51" t="s">
        <v>1799</v>
      </c>
      <c r="M51" t="s">
        <v>1799</v>
      </c>
      <c r="N51" t="s">
        <v>1799</v>
      </c>
      <c r="O51" s="184" t="str">
        <f>"["&amp;$C51&amp;"]["&amp;$D51&amp;"]["&amp;$F51&amp;"]"</f>
        <v>[S02_CAFocalPoint][0][CAArt70Abbrev]</v>
      </c>
    </row>
    <row r="52" spans="1:15" x14ac:dyDescent="0.3">
      <c r="A52" t="s">
        <v>1793</v>
      </c>
      <c r="B52" t="s">
        <v>1856</v>
      </c>
      <c r="C52" t="s">
        <v>1860</v>
      </c>
      <c r="D52">
        <v>1</v>
      </c>
      <c r="E52" t="s">
        <v>1447</v>
      </c>
      <c r="F52" t="s">
        <v>1861</v>
      </c>
      <c r="G52" t="s">
        <v>1862</v>
      </c>
      <c r="H52" t="s">
        <v>1799</v>
      </c>
      <c r="I52" t="s">
        <v>1799</v>
      </c>
      <c r="J52" t="s">
        <v>1799</v>
      </c>
      <c r="K52" t="s">
        <v>1863</v>
      </c>
      <c r="L52" t="s">
        <v>1799</v>
      </c>
      <c r="M52" t="s">
        <v>1799</v>
      </c>
      <c r="N52" t="s">
        <v>1799</v>
      </c>
      <c r="O52" s="184" t="str">
        <f>"["&amp;$C52&amp;"]["&amp;$D52&amp;"]["&amp;$F52&amp;"]"</f>
        <v>[S02_CompetentAuthorityCoordination][1][CACoordinationComment]</v>
      </c>
    </row>
    <row r="53" spans="1:15" x14ac:dyDescent="0.3">
      <c r="A53" t="s">
        <v>1793</v>
      </c>
      <c r="B53" t="s">
        <v>1864</v>
      </c>
      <c r="C53" t="s">
        <v>1865</v>
      </c>
      <c r="D53">
        <v>1</v>
      </c>
      <c r="E53" t="s">
        <v>1447</v>
      </c>
      <c r="F53" t="s">
        <v>1866</v>
      </c>
      <c r="G53" t="s">
        <v>1829</v>
      </c>
      <c r="H53" t="s">
        <v>1799</v>
      </c>
      <c r="I53" t="s">
        <v>1799</v>
      </c>
      <c r="J53" t="s">
        <v>1799</v>
      </c>
      <c r="K53" t="s">
        <v>1799</v>
      </c>
      <c r="L53" t="s">
        <v>1447</v>
      </c>
      <c r="M53" t="s">
        <v>1799</v>
      </c>
      <c r="N53" t="s">
        <v>1799</v>
      </c>
      <c r="O53" s="184" t="str">
        <f>"["&amp;$C53&amp;"]["&amp;$D53&amp;"]["&amp;$F53&amp;"]"</f>
        <v>[S02_InformationExchangeAccBodyAndCA][1][InfoExchangeYesNo]</v>
      </c>
    </row>
    <row r="54" spans="1:15" x14ac:dyDescent="0.3">
      <c r="A54" t="s">
        <v>1793</v>
      </c>
      <c r="B54" t="s">
        <v>1864</v>
      </c>
      <c r="C54" t="s">
        <v>1865</v>
      </c>
      <c r="D54">
        <v>2</v>
      </c>
      <c r="E54" t="s">
        <v>1447</v>
      </c>
      <c r="F54" t="s">
        <v>1866</v>
      </c>
      <c r="G54" t="s">
        <v>1829</v>
      </c>
      <c r="H54" t="s">
        <v>1799</v>
      </c>
      <c r="I54" t="s">
        <v>1799</v>
      </c>
      <c r="J54" t="s">
        <v>1799</v>
      </c>
      <c r="K54" t="s">
        <v>1799</v>
      </c>
      <c r="L54" t="s">
        <v>1447</v>
      </c>
      <c r="M54" t="s">
        <v>1799</v>
      </c>
      <c r="N54" t="s">
        <v>1799</v>
      </c>
      <c r="O54" s="184" t="str">
        <f>"["&amp;$C54&amp;"]["&amp;$D54&amp;"]["&amp;$F54&amp;"]"</f>
        <v>[S02_InformationExchangeAccBodyAndCA][2][InfoExchangeYesNo]</v>
      </c>
    </row>
    <row r="55" spans="1:15" x14ac:dyDescent="0.3">
      <c r="A55" t="s">
        <v>1793</v>
      </c>
      <c r="B55" t="s">
        <v>1864</v>
      </c>
      <c r="C55" t="s">
        <v>1865</v>
      </c>
      <c r="D55">
        <v>3</v>
      </c>
      <c r="E55" t="s">
        <v>1447</v>
      </c>
      <c r="F55" t="s">
        <v>1866</v>
      </c>
      <c r="G55" t="s">
        <v>1829</v>
      </c>
      <c r="H55" t="s">
        <v>1799</v>
      </c>
      <c r="I55" t="s">
        <v>1799</v>
      </c>
      <c r="J55" t="s">
        <v>1799</v>
      </c>
      <c r="K55" t="s">
        <v>1799</v>
      </c>
      <c r="L55" t="s">
        <v>1419</v>
      </c>
      <c r="M55" t="s">
        <v>1799</v>
      </c>
      <c r="N55" t="s">
        <v>1799</v>
      </c>
      <c r="O55" s="184" t="str">
        <f>"["&amp;$C55&amp;"]["&amp;$D55&amp;"]["&amp;$F55&amp;"]"</f>
        <v>[S02_InformationExchangeAccBodyAndCA][3][InfoExchangeYesNo]</v>
      </c>
    </row>
    <row r="56" spans="1:15" x14ac:dyDescent="0.3">
      <c r="A56" t="s">
        <v>1793</v>
      </c>
      <c r="B56" t="s">
        <v>1864</v>
      </c>
      <c r="C56" t="s">
        <v>1865</v>
      </c>
      <c r="D56">
        <v>1</v>
      </c>
      <c r="E56" t="s">
        <v>1447</v>
      </c>
      <c r="F56" t="s">
        <v>1867</v>
      </c>
      <c r="G56" t="s">
        <v>1862</v>
      </c>
      <c r="H56" t="s">
        <v>1799</v>
      </c>
      <c r="I56" t="s">
        <v>1799</v>
      </c>
      <c r="J56" t="s">
        <v>1799</v>
      </c>
      <c r="K56" t="s">
        <v>1868</v>
      </c>
      <c r="L56" t="s">
        <v>1799</v>
      </c>
      <c r="M56" t="s">
        <v>1799</v>
      </c>
      <c r="N56" t="s">
        <v>1799</v>
      </c>
      <c r="O56" s="184" t="str">
        <f>"["&amp;$C56&amp;"]["&amp;$D56&amp;"]["&amp;$F56&amp;"]"</f>
        <v>[S02_InformationExchangeAccBodyAndCA][1][InfoExchangeComment]</v>
      </c>
    </row>
    <row r="57" spans="1:15" x14ac:dyDescent="0.3">
      <c r="A57" t="s">
        <v>1793</v>
      </c>
      <c r="B57" t="s">
        <v>1864</v>
      </c>
      <c r="C57" t="s">
        <v>1865</v>
      </c>
      <c r="D57">
        <v>2</v>
      </c>
      <c r="E57" t="s">
        <v>1447</v>
      </c>
      <c r="F57" t="s">
        <v>1867</v>
      </c>
      <c r="G57" t="s">
        <v>1862</v>
      </c>
      <c r="H57" t="s">
        <v>1799</v>
      </c>
      <c r="I57" t="s">
        <v>1799</v>
      </c>
      <c r="J57" t="s">
        <v>1799</v>
      </c>
      <c r="K57" t="s">
        <v>1869</v>
      </c>
      <c r="L57" t="s">
        <v>1799</v>
      </c>
      <c r="M57" t="s">
        <v>1799</v>
      </c>
      <c r="N57" t="s">
        <v>1799</v>
      </c>
      <c r="O57" s="184" t="str">
        <f>"["&amp;$C57&amp;"]["&amp;$D57&amp;"]["&amp;$F57&amp;"]"</f>
        <v>[S02_InformationExchangeAccBodyAndCA][2][InfoExchangeComment]</v>
      </c>
    </row>
    <row r="58" spans="1:15" x14ac:dyDescent="0.3">
      <c r="A58" t="s">
        <v>1793</v>
      </c>
      <c r="B58" t="s">
        <v>1870</v>
      </c>
      <c r="C58" t="s">
        <v>1871</v>
      </c>
      <c r="D58">
        <v>1</v>
      </c>
      <c r="E58" t="s">
        <v>1447</v>
      </c>
      <c r="F58" t="s">
        <v>1872</v>
      </c>
      <c r="G58" t="s">
        <v>1811</v>
      </c>
      <c r="H58" t="s">
        <v>1799</v>
      </c>
      <c r="I58">
        <v>44</v>
      </c>
      <c r="J58" t="s">
        <v>1799</v>
      </c>
      <c r="K58" t="s">
        <v>1799</v>
      </c>
      <c r="L58" t="s">
        <v>1799</v>
      </c>
      <c r="M58" t="s">
        <v>1799</v>
      </c>
      <c r="N58" t="s">
        <v>1799</v>
      </c>
      <c r="O58" s="184" t="str">
        <f>"["&amp;$C58&amp;"]["&amp;$D58&amp;"]["&amp;$F58&amp;"]"</f>
        <v>[S03_EmittingInstallations][1][NumberOfInstallations]</v>
      </c>
    </row>
    <row r="59" spans="1:15" x14ac:dyDescent="0.3">
      <c r="A59" t="s">
        <v>1793</v>
      </c>
      <c r="B59" t="s">
        <v>1870</v>
      </c>
      <c r="C59" t="s">
        <v>1871</v>
      </c>
      <c r="D59">
        <v>2</v>
      </c>
      <c r="E59" t="s">
        <v>1447</v>
      </c>
      <c r="F59" t="s">
        <v>1872</v>
      </c>
      <c r="G59" t="s">
        <v>1811</v>
      </c>
      <c r="H59" t="s">
        <v>1799</v>
      </c>
      <c r="I59">
        <v>35</v>
      </c>
      <c r="J59" t="s">
        <v>1799</v>
      </c>
      <c r="K59" t="s">
        <v>1799</v>
      </c>
      <c r="L59" t="s">
        <v>1799</v>
      </c>
      <c r="M59" t="s">
        <v>1799</v>
      </c>
      <c r="N59" t="s">
        <v>1799</v>
      </c>
      <c r="O59" s="184" t="str">
        <f>"["&amp;$C59&amp;"]["&amp;$D59&amp;"]["&amp;$F59&amp;"]"</f>
        <v>[S03_EmittingInstallations][2][NumberOfInstallations]</v>
      </c>
    </row>
    <row r="60" spans="1:15" x14ac:dyDescent="0.3">
      <c r="A60" t="s">
        <v>1793</v>
      </c>
      <c r="B60" t="s">
        <v>1870</v>
      </c>
      <c r="C60" t="s">
        <v>1871</v>
      </c>
      <c r="D60">
        <v>3</v>
      </c>
      <c r="E60" t="s">
        <v>1447</v>
      </c>
      <c r="F60" t="s">
        <v>1872</v>
      </c>
      <c r="G60" t="s">
        <v>1811</v>
      </c>
      <c r="H60" t="s">
        <v>1799</v>
      </c>
      <c r="I60">
        <v>3</v>
      </c>
      <c r="J60" t="s">
        <v>1799</v>
      </c>
      <c r="K60" t="s">
        <v>1799</v>
      </c>
      <c r="L60" t="s">
        <v>1799</v>
      </c>
      <c r="M60" t="s">
        <v>1799</v>
      </c>
      <c r="N60" t="s">
        <v>1799</v>
      </c>
      <c r="O60" s="184" t="str">
        <f>"["&amp;$C60&amp;"]["&amp;$D60&amp;"]["&amp;$F60&amp;"]"</f>
        <v>[S03_EmittingInstallations][3][NumberOfInstallations]</v>
      </c>
    </row>
    <row r="61" spans="1:15" x14ac:dyDescent="0.3">
      <c r="A61" t="s">
        <v>1793</v>
      </c>
      <c r="B61" t="s">
        <v>1870</v>
      </c>
      <c r="C61" t="s">
        <v>1871</v>
      </c>
      <c r="D61">
        <v>4</v>
      </c>
      <c r="E61" t="s">
        <v>1447</v>
      </c>
      <c r="F61" t="s">
        <v>1872</v>
      </c>
      <c r="G61" t="s">
        <v>1811</v>
      </c>
      <c r="H61" t="s">
        <v>1799</v>
      </c>
      <c r="I61">
        <v>6</v>
      </c>
      <c r="J61" t="s">
        <v>1799</v>
      </c>
      <c r="K61" t="s">
        <v>1799</v>
      </c>
      <c r="L61" t="s">
        <v>1799</v>
      </c>
      <c r="M61" t="s">
        <v>1799</v>
      </c>
      <c r="N61" t="s">
        <v>1799</v>
      </c>
      <c r="O61" s="184" t="str">
        <f>"["&amp;$C61&amp;"]["&amp;$D61&amp;"]["&amp;$F61&amp;"]"</f>
        <v>[S03_EmittingInstallations][4][NumberOfInstallations]</v>
      </c>
    </row>
    <row r="62" spans="1:15" x14ac:dyDescent="0.3">
      <c r="A62" t="s">
        <v>1793</v>
      </c>
      <c r="B62" t="s">
        <v>1870</v>
      </c>
      <c r="C62" t="s">
        <v>1871</v>
      </c>
      <c r="D62">
        <v>5</v>
      </c>
      <c r="E62" t="s">
        <v>1447</v>
      </c>
      <c r="F62" t="s">
        <v>1872</v>
      </c>
      <c r="G62" t="s">
        <v>1811</v>
      </c>
      <c r="H62" t="s">
        <v>1799</v>
      </c>
      <c r="I62">
        <v>27</v>
      </c>
      <c r="J62" t="s">
        <v>1799</v>
      </c>
      <c r="K62" t="s">
        <v>1799</v>
      </c>
      <c r="L62" t="s">
        <v>1799</v>
      </c>
      <c r="M62" t="s">
        <v>1799</v>
      </c>
      <c r="N62" t="s">
        <v>1799</v>
      </c>
      <c r="O62" s="184" t="str">
        <f>"["&amp;$C62&amp;"]["&amp;$D62&amp;"]["&amp;$F62&amp;"]"</f>
        <v>[S03_EmittingInstallations][5][NumberOfInstallations]</v>
      </c>
    </row>
    <row r="63" spans="1:15" x14ac:dyDescent="0.3">
      <c r="A63" t="s">
        <v>1793</v>
      </c>
      <c r="B63" t="s">
        <v>1870</v>
      </c>
      <c r="C63" t="s">
        <v>1873</v>
      </c>
      <c r="D63">
        <v>1</v>
      </c>
      <c r="E63" t="s">
        <v>1447</v>
      </c>
      <c r="F63" t="s">
        <v>1874</v>
      </c>
      <c r="G63" t="s">
        <v>1829</v>
      </c>
      <c r="H63" t="s">
        <v>1799</v>
      </c>
      <c r="I63" t="s">
        <v>1799</v>
      </c>
      <c r="J63" t="s">
        <v>1799</v>
      </c>
      <c r="K63" t="s">
        <v>1799</v>
      </c>
      <c r="L63" t="s">
        <v>1419</v>
      </c>
      <c r="M63" t="s">
        <v>1799</v>
      </c>
      <c r="N63" t="s">
        <v>1799</v>
      </c>
      <c r="O63" s="184" t="str">
        <f>"["&amp;$C63&amp;"]["&amp;$D63&amp;"]["&amp;$F63&amp;"]"</f>
        <v>[S03_ActivityPermits][1][ActivityPermitsIssued]</v>
      </c>
    </row>
    <row r="64" spans="1:15" x14ac:dyDescent="0.3">
      <c r="A64" t="s">
        <v>1793</v>
      </c>
      <c r="B64" t="s">
        <v>1870</v>
      </c>
      <c r="C64" t="s">
        <v>1873</v>
      </c>
      <c r="D64">
        <v>2</v>
      </c>
      <c r="E64" t="s">
        <v>1447</v>
      </c>
      <c r="F64" t="s">
        <v>1874</v>
      </c>
      <c r="G64" t="s">
        <v>1829</v>
      </c>
      <c r="H64" t="s">
        <v>1799</v>
      </c>
      <c r="I64" t="s">
        <v>1799</v>
      </c>
      <c r="J64" t="s">
        <v>1799</v>
      </c>
      <c r="K64" t="s">
        <v>1799</v>
      </c>
      <c r="L64" t="s">
        <v>1419</v>
      </c>
      <c r="M64" t="s">
        <v>1799</v>
      </c>
      <c r="N64" t="s">
        <v>1799</v>
      </c>
      <c r="O64" s="184" t="str">
        <f>"["&amp;$C64&amp;"]["&amp;$D64&amp;"]["&amp;$F64&amp;"]"</f>
        <v>[S03_ActivityPermits][2][ActivityPermitsIssued]</v>
      </c>
    </row>
    <row r="65" spans="1:15" x14ac:dyDescent="0.3">
      <c r="A65" t="s">
        <v>1793</v>
      </c>
      <c r="B65" t="s">
        <v>1870</v>
      </c>
      <c r="C65" t="s">
        <v>1873</v>
      </c>
      <c r="D65">
        <v>3</v>
      </c>
      <c r="E65" t="s">
        <v>1447</v>
      </c>
      <c r="F65" t="s">
        <v>1874</v>
      </c>
      <c r="G65" t="s">
        <v>1829</v>
      </c>
      <c r="H65" t="s">
        <v>1799</v>
      </c>
      <c r="I65" t="s">
        <v>1799</v>
      </c>
      <c r="J65" t="s">
        <v>1799</v>
      </c>
      <c r="K65" t="s">
        <v>1799</v>
      </c>
      <c r="L65" t="s">
        <v>1447</v>
      </c>
      <c r="M65" t="s">
        <v>1799</v>
      </c>
      <c r="N65" t="s">
        <v>1799</v>
      </c>
      <c r="O65" s="184" t="str">
        <f>"["&amp;$C65&amp;"]["&amp;$D65&amp;"]["&amp;$F65&amp;"]"</f>
        <v>[S03_ActivityPermits][3][ActivityPermitsIssued]</v>
      </c>
    </row>
    <row r="66" spans="1:15" x14ac:dyDescent="0.3">
      <c r="A66" t="s">
        <v>1793</v>
      </c>
      <c r="B66" t="s">
        <v>1870</v>
      </c>
      <c r="C66" t="s">
        <v>1873</v>
      </c>
      <c r="D66">
        <v>4</v>
      </c>
      <c r="E66" t="s">
        <v>1447</v>
      </c>
      <c r="F66" t="s">
        <v>1874</v>
      </c>
      <c r="G66" t="s">
        <v>1829</v>
      </c>
      <c r="H66" t="s">
        <v>1799</v>
      </c>
      <c r="I66" t="s">
        <v>1799</v>
      </c>
      <c r="J66" t="s">
        <v>1799</v>
      </c>
      <c r="K66" t="s">
        <v>1799</v>
      </c>
      <c r="L66" t="s">
        <v>1447</v>
      </c>
      <c r="M66" t="s">
        <v>1799</v>
      </c>
      <c r="N66" t="s">
        <v>1799</v>
      </c>
      <c r="O66" s="184" t="str">
        <f>"["&amp;$C66&amp;"]["&amp;$D66&amp;"]["&amp;$F66&amp;"]"</f>
        <v>[S03_ActivityPermits][4][ActivityPermitsIssued]</v>
      </c>
    </row>
    <row r="67" spans="1:15" x14ac:dyDescent="0.3">
      <c r="A67" t="s">
        <v>1793</v>
      </c>
      <c r="B67" t="s">
        <v>1870</v>
      </c>
      <c r="C67" t="s">
        <v>1873</v>
      </c>
      <c r="D67">
        <v>5</v>
      </c>
      <c r="E67" t="s">
        <v>1447</v>
      </c>
      <c r="F67" t="s">
        <v>1874</v>
      </c>
      <c r="G67" t="s">
        <v>1829</v>
      </c>
      <c r="H67" t="s">
        <v>1799</v>
      </c>
      <c r="I67" t="s">
        <v>1799</v>
      </c>
      <c r="J67" t="s">
        <v>1799</v>
      </c>
      <c r="K67" t="s">
        <v>1799</v>
      </c>
      <c r="L67" t="s">
        <v>1447</v>
      </c>
      <c r="M67" t="s">
        <v>1799</v>
      </c>
      <c r="N67" t="s">
        <v>1799</v>
      </c>
      <c r="O67" s="184" t="str">
        <f>"["&amp;$C67&amp;"]["&amp;$D67&amp;"]["&amp;$F67&amp;"]"</f>
        <v>[S03_ActivityPermits][5][ActivityPermitsIssued]</v>
      </c>
    </row>
    <row r="68" spans="1:15" x14ac:dyDescent="0.3">
      <c r="A68" t="s">
        <v>1793</v>
      </c>
      <c r="B68" t="s">
        <v>1870</v>
      </c>
      <c r="C68" t="s">
        <v>1873</v>
      </c>
      <c r="D68">
        <v>6</v>
      </c>
      <c r="E68" t="s">
        <v>1447</v>
      </c>
      <c r="F68" t="s">
        <v>1874</v>
      </c>
      <c r="G68" t="s">
        <v>1829</v>
      </c>
      <c r="H68" t="s">
        <v>1799</v>
      </c>
      <c r="I68" t="s">
        <v>1799</v>
      </c>
      <c r="J68" t="s">
        <v>1799</v>
      </c>
      <c r="K68" t="s">
        <v>1799</v>
      </c>
      <c r="L68" t="s">
        <v>1447</v>
      </c>
      <c r="M68" t="s">
        <v>1799</v>
      </c>
      <c r="N68" t="s">
        <v>1799</v>
      </c>
      <c r="O68" s="184" t="str">
        <f>"["&amp;$C68&amp;"]["&amp;$D68&amp;"]["&amp;$F68&amp;"]"</f>
        <v>[S03_ActivityPermits][6][ActivityPermitsIssued]</v>
      </c>
    </row>
    <row r="69" spans="1:15" x14ac:dyDescent="0.3">
      <c r="A69" t="s">
        <v>1793</v>
      </c>
      <c r="B69" t="s">
        <v>1870</v>
      </c>
      <c r="C69" t="s">
        <v>1873</v>
      </c>
      <c r="D69">
        <v>7</v>
      </c>
      <c r="E69" t="s">
        <v>1447</v>
      </c>
      <c r="F69" t="s">
        <v>1874</v>
      </c>
      <c r="G69" t="s">
        <v>1829</v>
      </c>
      <c r="H69" t="s">
        <v>1799</v>
      </c>
      <c r="I69" t="s">
        <v>1799</v>
      </c>
      <c r="J69" t="s">
        <v>1799</v>
      </c>
      <c r="K69" t="s">
        <v>1799</v>
      </c>
      <c r="L69" t="s">
        <v>1447</v>
      </c>
      <c r="M69" t="s">
        <v>1799</v>
      </c>
      <c r="N69" t="s">
        <v>1799</v>
      </c>
      <c r="O69" s="184" t="str">
        <f>"["&amp;$C69&amp;"]["&amp;$D69&amp;"]["&amp;$F69&amp;"]"</f>
        <v>[S03_ActivityPermits][7][ActivityPermitsIssued]</v>
      </c>
    </row>
    <row r="70" spans="1:15" x14ac:dyDescent="0.3">
      <c r="A70" t="s">
        <v>1793</v>
      </c>
      <c r="B70" t="s">
        <v>1870</v>
      </c>
      <c r="C70" t="s">
        <v>1873</v>
      </c>
      <c r="D70">
        <v>8</v>
      </c>
      <c r="E70" t="s">
        <v>1447</v>
      </c>
      <c r="F70" t="s">
        <v>1874</v>
      </c>
      <c r="G70" t="s">
        <v>1829</v>
      </c>
      <c r="H70" t="s">
        <v>1799</v>
      </c>
      <c r="I70" t="s">
        <v>1799</v>
      </c>
      <c r="J70" t="s">
        <v>1799</v>
      </c>
      <c r="K70" t="s">
        <v>1799</v>
      </c>
      <c r="L70" t="s">
        <v>1447</v>
      </c>
      <c r="M70" t="s">
        <v>1799</v>
      </c>
      <c r="N70" t="s">
        <v>1799</v>
      </c>
      <c r="O70" s="184" t="str">
        <f>"["&amp;$C70&amp;"]["&amp;$D70&amp;"]["&amp;$F70&amp;"]"</f>
        <v>[S03_ActivityPermits][8][ActivityPermitsIssued]</v>
      </c>
    </row>
    <row r="71" spans="1:15" x14ac:dyDescent="0.3">
      <c r="A71" t="s">
        <v>1793</v>
      </c>
      <c r="B71" t="s">
        <v>1870</v>
      </c>
      <c r="C71" t="s">
        <v>1873</v>
      </c>
      <c r="D71">
        <v>9</v>
      </c>
      <c r="E71" t="s">
        <v>1447</v>
      </c>
      <c r="F71" t="s">
        <v>1874</v>
      </c>
      <c r="G71" t="s">
        <v>1829</v>
      </c>
      <c r="H71" t="s">
        <v>1799</v>
      </c>
      <c r="I71" t="s">
        <v>1799</v>
      </c>
      <c r="J71" t="s">
        <v>1799</v>
      </c>
      <c r="K71" t="s">
        <v>1799</v>
      </c>
      <c r="L71" t="s">
        <v>1447</v>
      </c>
      <c r="M71" t="s">
        <v>1799</v>
      </c>
      <c r="N71" t="s">
        <v>1799</v>
      </c>
      <c r="O71" s="184" t="str">
        <f>"["&amp;$C71&amp;"]["&amp;$D71&amp;"]["&amp;$F71&amp;"]"</f>
        <v>[S03_ActivityPermits][9][ActivityPermitsIssued]</v>
      </c>
    </row>
    <row r="72" spans="1:15" x14ac:dyDescent="0.3">
      <c r="A72" t="s">
        <v>1793</v>
      </c>
      <c r="B72" t="s">
        <v>1870</v>
      </c>
      <c r="C72" t="s">
        <v>1873</v>
      </c>
      <c r="D72">
        <v>10</v>
      </c>
      <c r="E72" t="s">
        <v>1447</v>
      </c>
      <c r="F72" t="s">
        <v>1874</v>
      </c>
      <c r="G72" t="s">
        <v>1829</v>
      </c>
      <c r="H72" t="s">
        <v>1799</v>
      </c>
      <c r="I72" t="s">
        <v>1799</v>
      </c>
      <c r="J72" t="s">
        <v>1799</v>
      </c>
      <c r="K72" t="s">
        <v>1799</v>
      </c>
      <c r="L72" t="s">
        <v>1447</v>
      </c>
      <c r="M72" t="s">
        <v>1799</v>
      </c>
      <c r="N72" t="s">
        <v>1799</v>
      </c>
      <c r="O72" s="184" t="str">
        <f>"["&amp;$C72&amp;"]["&amp;$D72&amp;"]["&amp;$F72&amp;"]"</f>
        <v>[S03_ActivityPermits][10][ActivityPermitsIssued]</v>
      </c>
    </row>
    <row r="73" spans="1:15" x14ac:dyDescent="0.3">
      <c r="A73" t="s">
        <v>1793</v>
      </c>
      <c r="B73" t="s">
        <v>1870</v>
      </c>
      <c r="C73" t="s">
        <v>1873</v>
      </c>
      <c r="D73">
        <v>11</v>
      </c>
      <c r="E73" t="s">
        <v>1447</v>
      </c>
      <c r="F73" t="s">
        <v>1874</v>
      </c>
      <c r="G73" t="s">
        <v>1829</v>
      </c>
      <c r="H73" t="s">
        <v>1799</v>
      </c>
      <c r="I73" t="s">
        <v>1799</v>
      </c>
      <c r="J73" t="s">
        <v>1799</v>
      </c>
      <c r="K73" t="s">
        <v>1799</v>
      </c>
      <c r="L73" t="s">
        <v>1419</v>
      </c>
      <c r="M73" t="s">
        <v>1799</v>
      </c>
      <c r="N73" t="s">
        <v>1799</v>
      </c>
      <c r="O73" s="184" t="str">
        <f>"["&amp;$C73&amp;"]["&amp;$D73&amp;"]["&amp;$F73&amp;"]"</f>
        <v>[S03_ActivityPermits][11][ActivityPermitsIssued]</v>
      </c>
    </row>
    <row r="74" spans="1:15" x14ac:dyDescent="0.3">
      <c r="A74" t="s">
        <v>1793</v>
      </c>
      <c r="B74" t="s">
        <v>1870</v>
      </c>
      <c r="C74" t="s">
        <v>1873</v>
      </c>
      <c r="D74">
        <v>12</v>
      </c>
      <c r="E74" t="s">
        <v>1447</v>
      </c>
      <c r="F74" t="s">
        <v>1874</v>
      </c>
      <c r="G74" t="s">
        <v>1829</v>
      </c>
      <c r="H74" t="s">
        <v>1799</v>
      </c>
      <c r="I74" t="s">
        <v>1799</v>
      </c>
      <c r="J74" t="s">
        <v>1799</v>
      </c>
      <c r="K74" t="s">
        <v>1799</v>
      </c>
      <c r="L74" t="s">
        <v>1419</v>
      </c>
      <c r="M74" t="s">
        <v>1799</v>
      </c>
      <c r="N74" t="s">
        <v>1799</v>
      </c>
      <c r="O74" s="184" t="str">
        <f>"["&amp;$C74&amp;"]["&amp;$D74&amp;"]["&amp;$F74&amp;"]"</f>
        <v>[S03_ActivityPermits][12][ActivityPermitsIssued]</v>
      </c>
    </row>
    <row r="75" spans="1:15" x14ac:dyDescent="0.3">
      <c r="A75" t="s">
        <v>1793</v>
      </c>
      <c r="B75" t="s">
        <v>1870</v>
      </c>
      <c r="C75" t="s">
        <v>1873</v>
      </c>
      <c r="D75">
        <v>13</v>
      </c>
      <c r="E75" t="s">
        <v>1447</v>
      </c>
      <c r="F75" t="s">
        <v>1874</v>
      </c>
      <c r="G75" t="s">
        <v>1829</v>
      </c>
      <c r="H75" t="s">
        <v>1799</v>
      </c>
      <c r="I75" t="s">
        <v>1799</v>
      </c>
      <c r="J75" t="s">
        <v>1799</v>
      </c>
      <c r="K75" t="s">
        <v>1799</v>
      </c>
      <c r="L75" t="s">
        <v>1419</v>
      </c>
      <c r="M75" t="s">
        <v>1799</v>
      </c>
      <c r="N75" t="s">
        <v>1799</v>
      </c>
      <c r="O75" s="184" t="str">
        <f>"["&amp;$C75&amp;"]["&amp;$D75&amp;"]["&amp;$F75&amp;"]"</f>
        <v>[S03_ActivityPermits][13][ActivityPermitsIssued]</v>
      </c>
    </row>
    <row r="76" spans="1:15" x14ac:dyDescent="0.3">
      <c r="A76" t="s">
        <v>1793</v>
      </c>
      <c r="B76" t="s">
        <v>1870</v>
      </c>
      <c r="C76" t="s">
        <v>1873</v>
      </c>
      <c r="D76">
        <v>14</v>
      </c>
      <c r="E76" t="s">
        <v>1447</v>
      </c>
      <c r="F76" t="s">
        <v>1874</v>
      </c>
      <c r="G76" t="s">
        <v>1829</v>
      </c>
      <c r="H76" t="s">
        <v>1799</v>
      </c>
      <c r="I76" t="s">
        <v>1799</v>
      </c>
      <c r="J76" t="s">
        <v>1799</v>
      </c>
      <c r="K76" t="s">
        <v>1799</v>
      </c>
      <c r="L76" t="s">
        <v>1447</v>
      </c>
      <c r="M76" t="s">
        <v>1799</v>
      </c>
      <c r="N76" t="s">
        <v>1799</v>
      </c>
      <c r="O76" s="184" t="str">
        <f>"["&amp;$C76&amp;"]["&amp;$D76&amp;"]["&amp;$F76&amp;"]"</f>
        <v>[S03_ActivityPermits][14][ActivityPermitsIssued]</v>
      </c>
    </row>
    <row r="77" spans="1:15" x14ac:dyDescent="0.3">
      <c r="A77" t="s">
        <v>1793</v>
      </c>
      <c r="B77" t="s">
        <v>1870</v>
      </c>
      <c r="C77" t="s">
        <v>1873</v>
      </c>
      <c r="D77">
        <v>15</v>
      </c>
      <c r="E77" t="s">
        <v>1447</v>
      </c>
      <c r="F77" t="s">
        <v>1874</v>
      </c>
      <c r="G77" t="s">
        <v>1829</v>
      </c>
      <c r="H77" t="s">
        <v>1799</v>
      </c>
      <c r="I77" t="s">
        <v>1799</v>
      </c>
      <c r="J77" t="s">
        <v>1799</v>
      </c>
      <c r="K77" t="s">
        <v>1799</v>
      </c>
      <c r="L77" t="s">
        <v>1447</v>
      </c>
      <c r="M77" t="s">
        <v>1799</v>
      </c>
      <c r="N77" t="s">
        <v>1799</v>
      </c>
      <c r="O77" s="184" t="str">
        <f>"["&amp;$C77&amp;"]["&amp;$D77&amp;"]["&amp;$F77&amp;"]"</f>
        <v>[S03_ActivityPermits][15][ActivityPermitsIssued]</v>
      </c>
    </row>
    <row r="78" spans="1:15" x14ac:dyDescent="0.3">
      <c r="A78" t="s">
        <v>1793</v>
      </c>
      <c r="B78" t="s">
        <v>1870</v>
      </c>
      <c r="C78" t="s">
        <v>1873</v>
      </c>
      <c r="D78">
        <v>16</v>
      </c>
      <c r="E78" t="s">
        <v>1447</v>
      </c>
      <c r="F78" t="s">
        <v>1874</v>
      </c>
      <c r="G78" t="s">
        <v>1829</v>
      </c>
      <c r="H78" t="s">
        <v>1799</v>
      </c>
      <c r="I78" t="s">
        <v>1799</v>
      </c>
      <c r="J78" t="s">
        <v>1799</v>
      </c>
      <c r="K78" t="s">
        <v>1799</v>
      </c>
      <c r="L78" t="s">
        <v>1419</v>
      </c>
      <c r="M78" t="s">
        <v>1799</v>
      </c>
      <c r="N78" t="s">
        <v>1799</v>
      </c>
      <c r="O78" s="184" t="str">
        <f>"["&amp;$C78&amp;"]["&amp;$D78&amp;"]["&amp;$F78&amp;"]"</f>
        <v>[S03_ActivityPermits][16][ActivityPermitsIssued]</v>
      </c>
    </row>
    <row r="79" spans="1:15" x14ac:dyDescent="0.3">
      <c r="A79" t="s">
        <v>1793</v>
      </c>
      <c r="B79" t="s">
        <v>1870</v>
      </c>
      <c r="C79" t="s">
        <v>1873</v>
      </c>
      <c r="D79">
        <v>17</v>
      </c>
      <c r="E79" t="s">
        <v>1447</v>
      </c>
      <c r="F79" t="s">
        <v>1874</v>
      </c>
      <c r="G79" t="s">
        <v>1829</v>
      </c>
      <c r="H79" t="s">
        <v>1799</v>
      </c>
      <c r="I79" t="s">
        <v>1799</v>
      </c>
      <c r="J79" t="s">
        <v>1799</v>
      </c>
      <c r="K79" t="s">
        <v>1799</v>
      </c>
      <c r="L79" t="s">
        <v>1419</v>
      </c>
      <c r="M79" t="s">
        <v>1799</v>
      </c>
      <c r="N79" t="s">
        <v>1799</v>
      </c>
      <c r="O79" s="184" t="str">
        <f>"["&amp;$C79&amp;"]["&amp;$D79&amp;"]["&amp;$F79&amp;"]"</f>
        <v>[S03_ActivityPermits][17][ActivityPermitsIssued]</v>
      </c>
    </row>
    <row r="80" spans="1:15" x14ac:dyDescent="0.3">
      <c r="A80" t="s">
        <v>1793</v>
      </c>
      <c r="B80" t="s">
        <v>1870</v>
      </c>
      <c r="C80" t="s">
        <v>1873</v>
      </c>
      <c r="D80">
        <v>18</v>
      </c>
      <c r="E80" t="s">
        <v>1447</v>
      </c>
      <c r="F80" t="s">
        <v>1874</v>
      </c>
      <c r="G80" t="s">
        <v>1829</v>
      </c>
      <c r="H80" t="s">
        <v>1799</v>
      </c>
      <c r="I80" t="s">
        <v>1799</v>
      </c>
      <c r="J80" t="s">
        <v>1799</v>
      </c>
      <c r="K80" t="s">
        <v>1799</v>
      </c>
      <c r="L80" t="s">
        <v>1447</v>
      </c>
      <c r="M80" t="s">
        <v>1799</v>
      </c>
      <c r="N80" t="s">
        <v>1799</v>
      </c>
      <c r="O80" s="184" t="str">
        <f>"["&amp;$C80&amp;"]["&amp;$D80&amp;"]["&amp;$F80&amp;"]"</f>
        <v>[S03_ActivityPermits][18][ActivityPermitsIssued]</v>
      </c>
    </row>
    <row r="81" spans="1:15" x14ac:dyDescent="0.3">
      <c r="A81" t="s">
        <v>1793</v>
      </c>
      <c r="B81" t="s">
        <v>1870</v>
      </c>
      <c r="C81" t="s">
        <v>1873</v>
      </c>
      <c r="D81">
        <v>19</v>
      </c>
      <c r="E81" t="s">
        <v>1447</v>
      </c>
      <c r="F81" t="s">
        <v>1874</v>
      </c>
      <c r="G81" t="s">
        <v>1829</v>
      </c>
      <c r="H81" t="s">
        <v>1799</v>
      </c>
      <c r="I81" t="s">
        <v>1799</v>
      </c>
      <c r="J81" t="s">
        <v>1799</v>
      </c>
      <c r="K81" t="s">
        <v>1799</v>
      </c>
      <c r="L81" t="s">
        <v>1447</v>
      </c>
      <c r="M81" t="s">
        <v>1799</v>
      </c>
      <c r="N81" t="s">
        <v>1799</v>
      </c>
      <c r="O81" s="184" t="str">
        <f>"["&amp;$C81&amp;"]["&amp;$D81&amp;"]["&amp;$F81&amp;"]"</f>
        <v>[S03_ActivityPermits][19][ActivityPermitsIssued]</v>
      </c>
    </row>
    <row r="82" spans="1:15" x14ac:dyDescent="0.3">
      <c r="A82" t="s">
        <v>1793</v>
      </c>
      <c r="B82" t="s">
        <v>1870</v>
      </c>
      <c r="C82" t="s">
        <v>1873</v>
      </c>
      <c r="D82">
        <v>20</v>
      </c>
      <c r="E82" t="s">
        <v>1447</v>
      </c>
      <c r="F82" t="s">
        <v>1874</v>
      </c>
      <c r="G82" t="s">
        <v>1829</v>
      </c>
      <c r="H82" t="s">
        <v>1799</v>
      </c>
      <c r="I82" t="s">
        <v>1799</v>
      </c>
      <c r="J82" t="s">
        <v>1799</v>
      </c>
      <c r="K82" t="s">
        <v>1799</v>
      </c>
      <c r="L82" t="s">
        <v>1447</v>
      </c>
      <c r="M82" t="s">
        <v>1799</v>
      </c>
      <c r="N82" t="s">
        <v>1799</v>
      </c>
      <c r="O82" s="184" t="str">
        <f>"["&amp;$C82&amp;"]["&amp;$D82&amp;"]["&amp;$F82&amp;"]"</f>
        <v>[S03_ActivityPermits][20][ActivityPermitsIssued]</v>
      </c>
    </row>
    <row r="83" spans="1:15" x14ac:dyDescent="0.3">
      <c r="A83" t="s">
        <v>1793</v>
      </c>
      <c r="B83" t="s">
        <v>1870</v>
      </c>
      <c r="C83" t="s">
        <v>1873</v>
      </c>
      <c r="D83">
        <v>21</v>
      </c>
      <c r="E83" t="s">
        <v>1447</v>
      </c>
      <c r="F83" t="s">
        <v>1874</v>
      </c>
      <c r="G83" t="s">
        <v>1829</v>
      </c>
      <c r="H83" t="s">
        <v>1799</v>
      </c>
      <c r="I83" t="s">
        <v>1799</v>
      </c>
      <c r="J83" t="s">
        <v>1799</v>
      </c>
      <c r="K83" t="s">
        <v>1799</v>
      </c>
      <c r="L83" t="s">
        <v>1447</v>
      </c>
      <c r="M83" t="s">
        <v>1799</v>
      </c>
      <c r="N83" t="s">
        <v>1799</v>
      </c>
      <c r="O83" s="184" t="str">
        <f>"["&amp;$C83&amp;"]["&amp;$D83&amp;"]["&amp;$F83&amp;"]"</f>
        <v>[S03_ActivityPermits][21][ActivityPermitsIssued]</v>
      </c>
    </row>
    <row r="84" spans="1:15" x14ac:dyDescent="0.3">
      <c r="A84" t="s">
        <v>1793</v>
      </c>
      <c r="B84" t="s">
        <v>1870</v>
      </c>
      <c r="C84" t="s">
        <v>1873</v>
      </c>
      <c r="D84">
        <v>22</v>
      </c>
      <c r="E84" t="s">
        <v>1447</v>
      </c>
      <c r="F84" t="s">
        <v>1874</v>
      </c>
      <c r="G84" t="s">
        <v>1829</v>
      </c>
      <c r="H84" t="s">
        <v>1799</v>
      </c>
      <c r="I84" t="s">
        <v>1799</v>
      </c>
      <c r="J84" t="s">
        <v>1799</v>
      </c>
      <c r="K84" t="s">
        <v>1799</v>
      </c>
      <c r="L84" t="s">
        <v>1447</v>
      </c>
      <c r="M84" t="s">
        <v>1799</v>
      </c>
      <c r="N84" t="s">
        <v>1799</v>
      </c>
      <c r="O84" s="184" t="str">
        <f>"["&amp;$C84&amp;"]["&amp;$D84&amp;"]["&amp;$F84&amp;"]"</f>
        <v>[S03_ActivityPermits][22][ActivityPermitsIssued]</v>
      </c>
    </row>
    <row r="85" spans="1:15" x14ac:dyDescent="0.3">
      <c r="A85" t="s">
        <v>1793</v>
      </c>
      <c r="B85" t="s">
        <v>1870</v>
      </c>
      <c r="C85" t="s">
        <v>1873</v>
      </c>
      <c r="D85">
        <v>23</v>
      </c>
      <c r="E85" t="s">
        <v>1447</v>
      </c>
      <c r="F85" t="s">
        <v>1874</v>
      </c>
      <c r="G85" t="s">
        <v>1829</v>
      </c>
      <c r="H85" t="s">
        <v>1799</v>
      </c>
      <c r="I85" t="s">
        <v>1799</v>
      </c>
      <c r="J85" t="s">
        <v>1799</v>
      </c>
      <c r="K85" t="s">
        <v>1799</v>
      </c>
      <c r="L85" t="s">
        <v>1447</v>
      </c>
      <c r="M85" t="s">
        <v>1799</v>
      </c>
      <c r="N85" t="s">
        <v>1799</v>
      </c>
      <c r="O85" s="184" t="str">
        <f>"["&amp;$C85&amp;"]["&amp;$D85&amp;"]["&amp;$F85&amp;"]"</f>
        <v>[S03_ActivityPermits][23][ActivityPermitsIssued]</v>
      </c>
    </row>
    <row r="86" spans="1:15" x14ac:dyDescent="0.3">
      <c r="A86" t="s">
        <v>1793</v>
      </c>
      <c r="B86" t="s">
        <v>1870</v>
      </c>
      <c r="C86" t="s">
        <v>1873</v>
      </c>
      <c r="D86">
        <v>24</v>
      </c>
      <c r="E86" t="s">
        <v>1447</v>
      </c>
      <c r="F86" t="s">
        <v>1874</v>
      </c>
      <c r="G86" t="s">
        <v>1829</v>
      </c>
      <c r="H86" t="s">
        <v>1799</v>
      </c>
      <c r="I86" t="s">
        <v>1799</v>
      </c>
      <c r="J86" t="s">
        <v>1799</v>
      </c>
      <c r="K86" t="s">
        <v>1799</v>
      </c>
      <c r="L86" t="s">
        <v>1447</v>
      </c>
      <c r="M86" t="s">
        <v>1799</v>
      </c>
      <c r="N86" t="s">
        <v>1799</v>
      </c>
      <c r="O86" s="184" t="str">
        <f>"["&amp;$C86&amp;"]["&amp;$D86&amp;"]["&amp;$F86&amp;"]"</f>
        <v>[S03_ActivityPermits][24][ActivityPermitsIssued]</v>
      </c>
    </row>
    <row r="87" spans="1:15" x14ac:dyDescent="0.3">
      <c r="A87" t="s">
        <v>1793</v>
      </c>
      <c r="B87" t="s">
        <v>1870</v>
      </c>
      <c r="C87" t="s">
        <v>1873</v>
      </c>
      <c r="D87">
        <v>25</v>
      </c>
      <c r="E87" t="s">
        <v>1447</v>
      </c>
      <c r="F87" t="s">
        <v>1874</v>
      </c>
      <c r="G87" t="s">
        <v>1829</v>
      </c>
      <c r="H87" t="s">
        <v>1799</v>
      </c>
      <c r="I87" t="s">
        <v>1799</v>
      </c>
      <c r="J87" t="s">
        <v>1799</v>
      </c>
      <c r="K87" t="s">
        <v>1799</v>
      </c>
      <c r="L87" t="s">
        <v>1447</v>
      </c>
      <c r="M87" t="s">
        <v>1799</v>
      </c>
      <c r="N87" t="s">
        <v>1799</v>
      </c>
      <c r="O87" s="184" t="str">
        <f>"["&amp;$C87&amp;"]["&amp;$D87&amp;"]["&amp;$F87&amp;"]"</f>
        <v>[S03_ActivityPermits][25][ActivityPermitsIssued]</v>
      </c>
    </row>
    <row r="88" spans="1:15" x14ac:dyDescent="0.3">
      <c r="A88" t="s">
        <v>1793</v>
      </c>
      <c r="B88" t="s">
        <v>1870</v>
      </c>
      <c r="C88" t="s">
        <v>1873</v>
      </c>
      <c r="D88">
        <v>26</v>
      </c>
      <c r="E88" t="s">
        <v>1447</v>
      </c>
      <c r="F88" t="s">
        <v>1874</v>
      </c>
      <c r="G88" t="s">
        <v>1829</v>
      </c>
      <c r="H88" t="s">
        <v>1799</v>
      </c>
      <c r="I88" t="s">
        <v>1799</v>
      </c>
      <c r="J88" t="s">
        <v>1799</v>
      </c>
      <c r="K88" t="s">
        <v>1799</v>
      </c>
      <c r="L88" t="s">
        <v>1447</v>
      </c>
      <c r="M88" t="s">
        <v>1799</v>
      </c>
      <c r="N88" t="s">
        <v>1799</v>
      </c>
      <c r="O88" s="184" t="str">
        <f>"["&amp;$C88&amp;"]["&amp;$D88&amp;"]["&amp;$F88&amp;"]"</f>
        <v>[S03_ActivityPermits][26][ActivityPermitsIssued]</v>
      </c>
    </row>
    <row r="89" spans="1:15" x14ac:dyDescent="0.3">
      <c r="A89" t="s">
        <v>1793</v>
      </c>
      <c r="B89" t="s">
        <v>1870</v>
      </c>
      <c r="C89" t="s">
        <v>1873</v>
      </c>
      <c r="D89">
        <v>27</v>
      </c>
      <c r="E89" t="s">
        <v>1447</v>
      </c>
      <c r="F89" t="s">
        <v>1874</v>
      </c>
      <c r="G89" t="s">
        <v>1829</v>
      </c>
      <c r="H89" t="s">
        <v>1799</v>
      </c>
      <c r="I89" t="s">
        <v>1799</v>
      </c>
      <c r="J89" t="s">
        <v>1799</v>
      </c>
      <c r="K89" t="s">
        <v>1799</v>
      </c>
      <c r="L89" t="s">
        <v>1447</v>
      </c>
      <c r="M89" t="s">
        <v>1799</v>
      </c>
      <c r="N89" t="s">
        <v>1799</v>
      </c>
      <c r="O89" s="184" t="str">
        <f>"["&amp;$C89&amp;"]["&amp;$D89&amp;"]["&amp;$F89&amp;"]"</f>
        <v>[S03_ActivityPermits][27][ActivityPermitsIssued]</v>
      </c>
    </row>
    <row r="90" spans="1:15" x14ac:dyDescent="0.3">
      <c r="A90" t="s">
        <v>1793</v>
      </c>
      <c r="B90" t="s">
        <v>1870</v>
      </c>
      <c r="C90" t="s">
        <v>1873</v>
      </c>
      <c r="D90">
        <v>28</v>
      </c>
      <c r="E90" t="s">
        <v>1447</v>
      </c>
      <c r="F90" t="s">
        <v>1874</v>
      </c>
      <c r="G90" t="s">
        <v>1829</v>
      </c>
      <c r="H90" t="s">
        <v>1799</v>
      </c>
      <c r="I90" t="s">
        <v>1799</v>
      </c>
      <c r="J90" t="s">
        <v>1799</v>
      </c>
      <c r="K90" t="s">
        <v>1799</v>
      </c>
      <c r="L90" t="s">
        <v>1447</v>
      </c>
      <c r="M90" t="s">
        <v>1799</v>
      </c>
      <c r="N90" t="s">
        <v>1799</v>
      </c>
      <c r="O90" s="184" t="str">
        <f>"["&amp;$C90&amp;"]["&amp;$D90&amp;"]["&amp;$F90&amp;"]"</f>
        <v>[S03_ActivityPermits][28][ActivityPermitsIssued]</v>
      </c>
    </row>
    <row r="91" spans="1:15" x14ac:dyDescent="0.3">
      <c r="A91" t="s">
        <v>1793</v>
      </c>
      <c r="B91" t="s">
        <v>1875</v>
      </c>
      <c r="C91" t="s">
        <v>1876</v>
      </c>
      <c r="D91">
        <v>0</v>
      </c>
      <c r="E91" t="s">
        <v>1447</v>
      </c>
      <c r="F91" t="s">
        <v>1876</v>
      </c>
      <c r="G91" t="s">
        <v>1829</v>
      </c>
      <c r="H91" t="s">
        <v>1799</v>
      </c>
      <c r="I91" t="s">
        <v>1799</v>
      </c>
      <c r="J91" t="s">
        <v>1799</v>
      </c>
      <c r="K91" t="s">
        <v>1799</v>
      </c>
      <c r="L91" t="s">
        <v>1447</v>
      </c>
      <c r="M91" t="s">
        <v>1799</v>
      </c>
      <c r="N91" t="s">
        <v>1799</v>
      </c>
      <c r="O91" s="184" t="str">
        <f>"["&amp;$C91&amp;"]["&amp;$D91&amp;"]["&amp;$F91&amp;"]"</f>
        <v>[InstallationsExcludedArt27][0][InstallationsExcludedArt27]</v>
      </c>
    </row>
    <row r="92" spans="1:15" x14ac:dyDescent="0.3">
      <c r="A92" t="s">
        <v>1793</v>
      </c>
      <c r="B92" t="s">
        <v>1877</v>
      </c>
      <c r="C92" t="s">
        <v>1878</v>
      </c>
      <c r="D92">
        <v>1</v>
      </c>
      <c r="E92" t="s">
        <v>1447</v>
      </c>
      <c r="F92" t="s">
        <v>1879</v>
      </c>
      <c r="G92" t="s">
        <v>1811</v>
      </c>
      <c r="H92" t="s">
        <v>1799</v>
      </c>
      <c r="I92">
        <v>1</v>
      </c>
      <c r="J92" t="s">
        <v>1799</v>
      </c>
      <c r="K92" t="s">
        <v>1799</v>
      </c>
      <c r="L92" t="s">
        <v>1799</v>
      </c>
      <c r="M92" t="s">
        <v>1799</v>
      </c>
      <c r="N92" t="s">
        <v>1799</v>
      </c>
      <c r="O92" s="184" t="str">
        <f>"["&amp;$C92&amp;"]["&amp;$D92&amp;"]["&amp;$F92&amp;"]"</f>
        <v>[S03_AircraftAnnex1Activities][1][NumberCommercialOperators]</v>
      </c>
    </row>
    <row r="93" spans="1:15" x14ac:dyDescent="0.3">
      <c r="A93" t="s">
        <v>1793</v>
      </c>
      <c r="B93" t="s">
        <v>1877</v>
      </c>
      <c r="C93" t="s">
        <v>1878</v>
      </c>
      <c r="D93">
        <v>2</v>
      </c>
      <c r="E93" t="s">
        <v>1447</v>
      </c>
      <c r="F93" t="s">
        <v>1879</v>
      </c>
      <c r="G93" t="s">
        <v>1811</v>
      </c>
      <c r="H93" t="s">
        <v>1799</v>
      </c>
      <c r="I93">
        <v>0</v>
      </c>
      <c r="J93" t="s">
        <v>1799</v>
      </c>
      <c r="K93" t="s">
        <v>1799</v>
      </c>
      <c r="L93" t="s">
        <v>1799</v>
      </c>
      <c r="M93" t="s">
        <v>1799</v>
      </c>
      <c r="N93" t="s">
        <v>1799</v>
      </c>
      <c r="O93" s="184" t="str">
        <f>"["&amp;$C93&amp;"]["&amp;$D93&amp;"]["&amp;$F93&amp;"]"</f>
        <v>[S03_AircraftAnnex1Activities][2][NumberCommercialOperators]</v>
      </c>
    </row>
    <row r="94" spans="1:15" x14ac:dyDescent="0.3">
      <c r="A94" t="s">
        <v>1793</v>
      </c>
      <c r="B94" t="s">
        <v>1877</v>
      </c>
      <c r="C94" t="s">
        <v>1878</v>
      </c>
      <c r="D94">
        <v>3</v>
      </c>
      <c r="E94" t="s">
        <v>1447</v>
      </c>
      <c r="F94" t="s">
        <v>1879</v>
      </c>
      <c r="G94" t="s">
        <v>1811</v>
      </c>
      <c r="H94" t="s">
        <v>1799</v>
      </c>
      <c r="I94">
        <v>1</v>
      </c>
      <c r="J94" t="s">
        <v>1799</v>
      </c>
      <c r="K94" t="s">
        <v>1799</v>
      </c>
      <c r="L94" t="s">
        <v>1799</v>
      </c>
      <c r="M94" t="s">
        <v>1799</v>
      </c>
      <c r="N94" t="s">
        <v>1799</v>
      </c>
      <c r="O94" s="184" t="str">
        <f>"["&amp;$C94&amp;"]["&amp;$D94&amp;"]["&amp;$F94&amp;"]"</f>
        <v>[S03_AircraftAnnex1Activities][3][NumberCommercialOperators]</v>
      </c>
    </row>
    <row r="95" spans="1:15" x14ac:dyDescent="0.3">
      <c r="A95" t="s">
        <v>1793</v>
      </c>
      <c r="B95" t="s">
        <v>1877</v>
      </c>
      <c r="C95" t="s">
        <v>1878</v>
      </c>
      <c r="D95">
        <v>1</v>
      </c>
      <c r="E95" t="s">
        <v>1447</v>
      </c>
      <c r="F95" t="s">
        <v>1880</v>
      </c>
      <c r="G95" t="s">
        <v>1811</v>
      </c>
      <c r="H95" t="s">
        <v>1799</v>
      </c>
      <c r="I95">
        <v>0</v>
      </c>
      <c r="J95" t="s">
        <v>1799</v>
      </c>
      <c r="K95" t="s">
        <v>1799</v>
      </c>
      <c r="L95" t="s">
        <v>1799</v>
      </c>
      <c r="M95" t="s">
        <v>1799</v>
      </c>
      <c r="N95" t="s">
        <v>1799</v>
      </c>
      <c r="O95" s="184" t="str">
        <f>"["&amp;$C95&amp;"]["&amp;$D95&amp;"]["&amp;$F95&amp;"]"</f>
        <v>[S03_AircraftAnnex1Activities][1][NumberNonCommercialOperators]</v>
      </c>
    </row>
    <row r="96" spans="1:15" x14ac:dyDescent="0.3">
      <c r="A96" t="s">
        <v>1793</v>
      </c>
      <c r="B96" t="s">
        <v>1877</v>
      </c>
      <c r="C96" t="s">
        <v>1878</v>
      </c>
      <c r="D96">
        <v>2</v>
      </c>
      <c r="E96" t="s">
        <v>1447</v>
      </c>
      <c r="F96" t="s">
        <v>1880</v>
      </c>
      <c r="G96" t="s">
        <v>1811</v>
      </c>
      <c r="H96" t="s">
        <v>1799</v>
      </c>
      <c r="I96">
        <v>0</v>
      </c>
      <c r="J96" t="s">
        <v>1799</v>
      </c>
      <c r="K96" t="s">
        <v>1799</v>
      </c>
      <c r="L96" t="s">
        <v>1799</v>
      </c>
      <c r="M96" t="s">
        <v>1799</v>
      </c>
      <c r="N96" t="s">
        <v>1799</v>
      </c>
      <c r="O96" s="184" t="str">
        <f>"["&amp;$C96&amp;"]["&amp;$D96&amp;"]["&amp;$F96&amp;"]"</f>
        <v>[S03_AircraftAnnex1Activities][2][NumberNonCommercialOperators]</v>
      </c>
    </row>
    <row r="97" spans="1:15" x14ac:dyDescent="0.3">
      <c r="A97" t="s">
        <v>1793</v>
      </c>
      <c r="B97" t="s">
        <v>1877</v>
      </c>
      <c r="C97" t="s">
        <v>1878</v>
      </c>
      <c r="D97">
        <v>3</v>
      </c>
      <c r="E97" t="s">
        <v>1447</v>
      </c>
      <c r="F97" t="s">
        <v>1880</v>
      </c>
      <c r="G97" t="s">
        <v>1811</v>
      </c>
      <c r="H97" t="s">
        <v>1799</v>
      </c>
      <c r="I97">
        <v>0</v>
      </c>
      <c r="J97" t="s">
        <v>1799</v>
      </c>
      <c r="K97" t="s">
        <v>1799</v>
      </c>
      <c r="L97" t="s">
        <v>1799</v>
      </c>
      <c r="M97" t="s">
        <v>1799</v>
      </c>
      <c r="N97" t="s">
        <v>1799</v>
      </c>
      <c r="O97" s="184" t="str">
        <f>"["&amp;$C97&amp;"]["&amp;$D97&amp;"]["&amp;$F97&amp;"]"</f>
        <v>[S03_AircraftAnnex1Activities][3][NumberNonCommercialOperators]</v>
      </c>
    </row>
    <row r="98" spans="1:15" x14ac:dyDescent="0.3">
      <c r="A98" t="s">
        <v>1793</v>
      </c>
      <c r="B98" t="s">
        <v>1877</v>
      </c>
      <c r="C98" t="s">
        <v>1878</v>
      </c>
      <c r="D98">
        <v>1</v>
      </c>
      <c r="E98" t="s">
        <v>1447</v>
      </c>
      <c r="F98" t="s">
        <v>1881</v>
      </c>
      <c r="G98" t="s">
        <v>1811</v>
      </c>
      <c r="H98" t="s">
        <v>1799</v>
      </c>
      <c r="I98">
        <v>1</v>
      </c>
      <c r="J98" t="s">
        <v>1799</v>
      </c>
      <c r="K98" t="s">
        <v>1799</v>
      </c>
      <c r="L98" t="s">
        <v>1799</v>
      </c>
      <c r="M98" t="s">
        <v>1799</v>
      </c>
      <c r="N98" t="s">
        <v>1799</v>
      </c>
      <c r="O98" s="184" t="str">
        <f>"["&amp;$C98&amp;"]["&amp;$D98&amp;"]["&amp;$F98&amp;"]"</f>
        <v>[S03_AircraftAnnex1Activities][1][NumberTotalOperators]</v>
      </c>
    </row>
    <row r="99" spans="1:15" x14ac:dyDescent="0.3">
      <c r="A99" t="s">
        <v>1793</v>
      </c>
      <c r="B99" t="s">
        <v>1877</v>
      </c>
      <c r="C99" t="s">
        <v>1878</v>
      </c>
      <c r="D99">
        <v>2</v>
      </c>
      <c r="E99" t="s">
        <v>1447</v>
      </c>
      <c r="F99" t="s">
        <v>1881</v>
      </c>
      <c r="G99" t="s">
        <v>1811</v>
      </c>
      <c r="H99" t="s">
        <v>1799</v>
      </c>
      <c r="I99">
        <v>0</v>
      </c>
      <c r="J99" t="s">
        <v>1799</v>
      </c>
      <c r="K99" t="s">
        <v>1799</v>
      </c>
      <c r="L99" t="s">
        <v>1799</v>
      </c>
      <c r="M99" t="s">
        <v>1799</v>
      </c>
      <c r="N99" t="s">
        <v>1799</v>
      </c>
      <c r="O99" s="184" t="str">
        <f>"["&amp;$C99&amp;"]["&amp;$D99&amp;"]["&amp;$F99&amp;"]"</f>
        <v>[S03_AircraftAnnex1Activities][2][NumberTotalOperators]</v>
      </c>
    </row>
    <row r="100" spans="1:15" x14ac:dyDescent="0.3">
      <c r="A100" t="s">
        <v>1793</v>
      </c>
      <c r="B100" t="s">
        <v>1877</v>
      </c>
      <c r="C100" t="s">
        <v>1878</v>
      </c>
      <c r="D100">
        <v>3</v>
      </c>
      <c r="E100" t="s">
        <v>1447</v>
      </c>
      <c r="F100" t="s">
        <v>1881</v>
      </c>
      <c r="G100" t="s">
        <v>1811</v>
      </c>
      <c r="H100" t="s">
        <v>1799</v>
      </c>
      <c r="I100">
        <v>1</v>
      </c>
      <c r="J100" t="s">
        <v>1799</v>
      </c>
      <c r="K100" t="s">
        <v>1799</v>
      </c>
      <c r="L100" t="s">
        <v>1799</v>
      </c>
      <c r="M100" t="s">
        <v>1799</v>
      </c>
      <c r="N100" t="s">
        <v>1799</v>
      </c>
      <c r="O100" s="184" t="str">
        <f>"["&amp;$C100&amp;"]["&amp;$D100&amp;"]["&amp;$F100&amp;"]"</f>
        <v>[S03_AircraftAnnex1Activities][3][NumberTotalOperators]</v>
      </c>
    </row>
    <row r="101" spans="1:15" x14ac:dyDescent="0.3">
      <c r="A101" t="s">
        <v>1793</v>
      </c>
      <c r="B101" t="s">
        <v>1882</v>
      </c>
      <c r="C101" t="s">
        <v>1883</v>
      </c>
      <c r="D101">
        <v>1</v>
      </c>
      <c r="E101" t="s">
        <v>1447</v>
      </c>
      <c r="F101" t="s">
        <v>1884</v>
      </c>
      <c r="G101" t="s">
        <v>1737</v>
      </c>
      <c r="H101" t="s">
        <v>1799</v>
      </c>
      <c r="I101" t="s">
        <v>1799</v>
      </c>
      <c r="J101" t="s">
        <v>1799</v>
      </c>
      <c r="K101" t="s">
        <v>1799</v>
      </c>
      <c r="L101" t="s">
        <v>1419</v>
      </c>
      <c r="M101" t="s">
        <v>1799</v>
      </c>
      <c r="N101" t="s">
        <v>1799</v>
      </c>
      <c r="O101" s="184" t="str">
        <f>"["&amp;$C101&amp;"]["&amp;$D101&amp;"]["&amp;$F101&amp;"]"</f>
        <v>[S04_IEDProcedureRequirementsIntegratedYes][1][IntegrationYesNo]</v>
      </c>
    </row>
    <row r="102" spans="1:15" x14ac:dyDescent="0.3">
      <c r="A102" t="s">
        <v>1793</v>
      </c>
      <c r="B102" t="s">
        <v>1882</v>
      </c>
      <c r="C102" t="s">
        <v>1883</v>
      </c>
      <c r="D102">
        <v>4</v>
      </c>
      <c r="E102" t="s">
        <v>1447</v>
      </c>
      <c r="F102" t="s">
        <v>1884</v>
      </c>
      <c r="G102" t="s">
        <v>1737</v>
      </c>
      <c r="H102" t="s">
        <v>1799</v>
      </c>
      <c r="I102" t="s">
        <v>1799</v>
      </c>
      <c r="J102" t="s">
        <v>1799</v>
      </c>
      <c r="K102" t="s">
        <v>1799</v>
      </c>
      <c r="L102" t="s">
        <v>1447</v>
      </c>
      <c r="M102" t="s">
        <v>1799</v>
      </c>
      <c r="N102" t="s">
        <v>1799</v>
      </c>
      <c r="O102" s="184" t="str">
        <f>"["&amp;$C102&amp;"]["&amp;$D102&amp;"]["&amp;$F102&amp;"]"</f>
        <v>[S04_IEDProcedureRequirementsIntegratedYes][4][IntegrationYesNo]</v>
      </c>
    </row>
    <row r="103" spans="1:15" x14ac:dyDescent="0.3">
      <c r="A103" t="s">
        <v>1793</v>
      </c>
      <c r="B103" t="s">
        <v>1882</v>
      </c>
      <c r="C103" t="s">
        <v>1883</v>
      </c>
      <c r="D103">
        <v>5</v>
      </c>
      <c r="E103" t="s">
        <v>1447</v>
      </c>
      <c r="F103" t="s">
        <v>1884</v>
      </c>
      <c r="G103" t="s">
        <v>1737</v>
      </c>
      <c r="H103" t="s">
        <v>1799</v>
      </c>
      <c r="I103" t="s">
        <v>1799</v>
      </c>
      <c r="J103" t="s">
        <v>1799</v>
      </c>
      <c r="K103" t="s">
        <v>1799</v>
      </c>
      <c r="L103" t="s">
        <v>1447</v>
      </c>
      <c r="M103" t="s">
        <v>1799</v>
      </c>
      <c r="N103" t="s">
        <v>1799</v>
      </c>
      <c r="O103" s="184" t="str">
        <f>"["&amp;$C103&amp;"]["&amp;$D103&amp;"]["&amp;$F103&amp;"]"</f>
        <v>[S04_IEDProcedureRequirementsIntegratedYes][5][IntegrationYesNo]</v>
      </c>
    </row>
    <row r="104" spans="1:15" x14ac:dyDescent="0.3">
      <c r="A104" t="s">
        <v>1793</v>
      </c>
      <c r="B104" t="s">
        <v>1882</v>
      </c>
      <c r="C104" t="s">
        <v>1883</v>
      </c>
      <c r="D104">
        <v>6</v>
      </c>
      <c r="E104" t="s">
        <v>1447</v>
      </c>
      <c r="F104" t="s">
        <v>1884</v>
      </c>
      <c r="G104" t="s">
        <v>1737</v>
      </c>
      <c r="H104" t="s">
        <v>1799</v>
      </c>
      <c r="I104" t="s">
        <v>1799</v>
      </c>
      <c r="J104" t="s">
        <v>1799</v>
      </c>
      <c r="K104" t="s">
        <v>1799</v>
      </c>
      <c r="L104" t="s">
        <v>1447</v>
      </c>
      <c r="M104" t="s">
        <v>1799</v>
      </c>
      <c r="N104" t="s">
        <v>1799</v>
      </c>
      <c r="O104" s="184" t="str">
        <f>"["&amp;$C104&amp;"]["&amp;$D104&amp;"]["&amp;$F104&amp;"]"</f>
        <v>[S04_IEDProcedureRequirementsIntegratedYes][6][IntegrationYesNo]</v>
      </c>
    </row>
    <row r="105" spans="1:15" x14ac:dyDescent="0.3">
      <c r="A105" t="s">
        <v>1793</v>
      </c>
      <c r="B105" t="s">
        <v>1882</v>
      </c>
      <c r="C105" t="s">
        <v>1883</v>
      </c>
      <c r="D105">
        <v>4</v>
      </c>
      <c r="E105" t="s">
        <v>1447</v>
      </c>
      <c r="F105" t="s">
        <v>1885</v>
      </c>
      <c r="G105" t="s">
        <v>1862</v>
      </c>
      <c r="H105" t="s">
        <v>1799</v>
      </c>
      <c r="I105" t="s">
        <v>1799</v>
      </c>
      <c r="J105" t="s">
        <v>1799</v>
      </c>
      <c r="K105" t="s">
        <v>1886</v>
      </c>
      <c r="L105" t="s">
        <v>1799</v>
      </c>
      <c r="M105" t="s">
        <v>1799</v>
      </c>
      <c r="N105" t="s">
        <v>1799</v>
      </c>
      <c r="O105" s="184" t="str">
        <f>"["&amp;$C105&amp;"]["&amp;$D105&amp;"]["&amp;$F105&amp;"]"</f>
        <v>[S04_IEDProcedureRequirementsIntegratedYes][4][IntegrationComments]</v>
      </c>
    </row>
    <row r="106" spans="1:15" x14ac:dyDescent="0.3">
      <c r="A106" t="s">
        <v>1793</v>
      </c>
      <c r="B106" t="s">
        <v>1882</v>
      </c>
      <c r="C106" t="s">
        <v>1883</v>
      </c>
      <c r="D106">
        <v>5</v>
      </c>
      <c r="E106" t="s">
        <v>1447</v>
      </c>
      <c r="F106" t="s">
        <v>1885</v>
      </c>
      <c r="G106" t="s">
        <v>1862</v>
      </c>
      <c r="H106" t="s">
        <v>1799</v>
      </c>
      <c r="I106" t="s">
        <v>1799</v>
      </c>
      <c r="J106" t="s">
        <v>1799</v>
      </c>
      <c r="K106" t="s">
        <v>1887</v>
      </c>
      <c r="L106" t="s">
        <v>1799</v>
      </c>
      <c r="M106" t="s">
        <v>1799</v>
      </c>
      <c r="N106" t="s">
        <v>1799</v>
      </c>
      <c r="O106" s="184" t="str">
        <f>"["&amp;$C106&amp;"]["&amp;$D106&amp;"]["&amp;$F106&amp;"]"</f>
        <v>[S04_IEDProcedureRequirementsIntegratedYes][5][IntegrationComments]</v>
      </c>
    </row>
    <row r="107" spans="1:15" x14ac:dyDescent="0.3">
      <c r="A107" t="s">
        <v>1793</v>
      </c>
      <c r="B107" t="s">
        <v>1888</v>
      </c>
      <c r="C107" t="s">
        <v>1889</v>
      </c>
      <c r="D107">
        <v>1</v>
      </c>
      <c r="E107" t="s">
        <v>1447</v>
      </c>
      <c r="F107" t="s">
        <v>1890</v>
      </c>
      <c r="G107" t="s">
        <v>1797</v>
      </c>
      <c r="H107" t="s">
        <v>1891</v>
      </c>
      <c r="I107" t="s">
        <v>1799</v>
      </c>
      <c r="J107" t="s">
        <v>1799</v>
      </c>
      <c r="K107" t="s">
        <v>1799</v>
      </c>
      <c r="L107" t="s">
        <v>1799</v>
      </c>
      <c r="M107" t="s">
        <v>1799</v>
      </c>
      <c r="N107" t="s">
        <v>1799</v>
      </c>
      <c r="O107" s="184" t="str">
        <f>"["&amp;$C107&amp;"]["&amp;$D107&amp;"]["&amp;$F107&amp;"]"</f>
        <v>[S04_NationalLawPermitUpdate][1][PermitUpdateNationalLawDetail]</v>
      </c>
    </row>
    <row r="108" spans="1:15" x14ac:dyDescent="0.3">
      <c r="A108" t="s">
        <v>1793</v>
      </c>
      <c r="B108" t="s">
        <v>1888</v>
      </c>
      <c r="C108" t="s">
        <v>1889</v>
      </c>
      <c r="D108">
        <v>2</v>
      </c>
      <c r="E108" t="s">
        <v>1447</v>
      </c>
      <c r="F108" t="s">
        <v>1890</v>
      </c>
      <c r="G108" t="s">
        <v>1797</v>
      </c>
      <c r="H108" t="s">
        <v>1892</v>
      </c>
      <c r="I108" t="s">
        <v>1799</v>
      </c>
      <c r="J108" t="s">
        <v>1799</v>
      </c>
      <c r="K108" t="s">
        <v>1799</v>
      </c>
      <c r="L108" t="s">
        <v>1799</v>
      </c>
      <c r="M108" t="s">
        <v>1799</v>
      </c>
      <c r="N108" t="s">
        <v>1799</v>
      </c>
      <c r="O108" s="184" t="str">
        <f>"["&amp;$C108&amp;"]["&amp;$D108&amp;"]["&amp;$F108&amp;"]"</f>
        <v>[S04_NationalLawPermitUpdate][2][PermitUpdateNationalLawDetail]</v>
      </c>
    </row>
    <row r="109" spans="1:15" x14ac:dyDescent="0.3">
      <c r="A109" t="s">
        <v>1793</v>
      </c>
      <c r="B109" t="s">
        <v>1888</v>
      </c>
      <c r="C109" t="s">
        <v>1889</v>
      </c>
      <c r="D109">
        <v>3</v>
      </c>
      <c r="E109" t="s">
        <v>1447</v>
      </c>
      <c r="F109" t="s">
        <v>1890</v>
      </c>
      <c r="G109" t="s">
        <v>1797</v>
      </c>
      <c r="H109" t="s">
        <v>1893</v>
      </c>
      <c r="I109" t="s">
        <v>1799</v>
      </c>
      <c r="J109" t="s">
        <v>1799</v>
      </c>
      <c r="K109" t="s">
        <v>1799</v>
      </c>
      <c r="L109" t="s">
        <v>1799</v>
      </c>
      <c r="M109" t="s">
        <v>1799</v>
      </c>
      <c r="N109" t="s">
        <v>1799</v>
      </c>
      <c r="O109" s="184" t="str">
        <f>"["&amp;$C109&amp;"]["&amp;$D109&amp;"]["&amp;$F109&amp;"]"</f>
        <v>[S04_NationalLawPermitUpdate][3][PermitUpdateNationalLawDetail]</v>
      </c>
    </row>
    <row r="110" spans="1:15" x14ac:dyDescent="0.3">
      <c r="A110" t="s">
        <v>1793</v>
      </c>
      <c r="B110" t="s">
        <v>1888</v>
      </c>
      <c r="C110" t="s">
        <v>1889</v>
      </c>
      <c r="D110">
        <v>4</v>
      </c>
      <c r="E110" t="s">
        <v>1447</v>
      </c>
      <c r="F110" t="s">
        <v>1890</v>
      </c>
      <c r="G110" t="s">
        <v>1797</v>
      </c>
      <c r="H110" t="s">
        <v>1893</v>
      </c>
      <c r="I110" t="s">
        <v>1799</v>
      </c>
      <c r="J110" t="s">
        <v>1799</v>
      </c>
      <c r="K110" t="s">
        <v>1799</v>
      </c>
      <c r="L110" t="s">
        <v>1799</v>
      </c>
      <c r="M110" t="s">
        <v>1799</v>
      </c>
      <c r="N110" t="s">
        <v>1799</v>
      </c>
      <c r="O110" s="184" t="str">
        <f>"["&amp;$C110&amp;"]["&amp;$D110&amp;"]["&amp;$F110&amp;"]"</f>
        <v>[S04_NationalLawPermitUpdate][4][PermitUpdateNationalLawDetail]</v>
      </c>
    </row>
    <row r="111" spans="1:15" x14ac:dyDescent="0.3">
      <c r="A111" t="s">
        <v>1793</v>
      </c>
      <c r="B111" t="s">
        <v>1888</v>
      </c>
      <c r="C111" t="s">
        <v>1889</v>
      </c>
      <c r="D111">
        <v>5</v>
      </c>
      <c r="E111" t="s">
        <v>1447</v>
      </c>
      <c r="F111" t="s">
        <v>1890</v>
      </c>
      <c r="G111" t="s">
        <v>1797</v>
      </c>
      <c r="H111" t="s">
        <v>1894</v>
      </c>
      <c r="I111" t="s">
        <v>1799</v>
      </c>
      <c r="J111" t="s">
        <v>1799</v>
      </c>
      <c r="K111" t="s">
        <v>1799</v>
      </c>
      <c r="L111" t="s">
        <v>1799</v>
      </c>
      <c r="M111" t="s">
        <v>1799</v>
      </c>
      <c r="N111" t="s">
        <v>1799</v>
      </c>
      <c r="O111" s="184" t="str">
        <f>"["&amp;$C111&amp;"]["&amp;$D111&amp;"]["&amp;$F111&amp;"]"</f>
        <v>[S04_NationalLawPermitUpdate][5][PermitUpdateNationalLawDetail]</v>
      </c>
    </row>
    <row r="112" spans="1:15" x14ac:dyDescent="0.3">
      <c r="A112" t="s">
        <v>1793</v>
      </c>
      <c r="B112" t="s">
        <v>1888</v>
      </c>
      <c r="C112" t="s">
        <v>1889</v>
      </c>
      <c r="D112">
        <v>6</v>
      </c>
      <c r="E112" t="s">
        <v>1447</v>
      </c>
      <c r="F112" t="s">
        <v>1890</v>
      </c>
      <c r="G112" t="s">
        <v>1797</v>
      </c>
      <c r="H112" t="s">
        <v>1895</v>
      </c>
      <c r="I112" t="s">
        <v>1799</v>
      </c>
      <c r="J112" t="s">
        <v>1799</v>
      </c>
      <c r="K112" t="s">
        <v>1799</v>
      </c>
      <c r="L112" t="s">
        <v>1799</v>
      </c>
      <c r="M112" t="s">
        <v>1799</v>
      </c>
      <c r="N112" t="s">
        <v>1799</v>
      </c>
      <c r="O112" s="184" t="str">
        <f>"["&amp;$C112&amp;"]["&amp;$D112&amp;"]["&amp;$F112&amp;"]"</f>
        <v>[S04_NationalLawPermitUpdate][6][PermitUpdateNationalLawDetail]</v>
      </c>
    </row>
    <row r="113" spans="1:15" x14ac:dyDescent="0.3">
      <c r="A113" t="s">
        <v>1793</v>
      </c>
      <c r="B113" t="s">
        <v>1888</v>
      </c>
      <c r="C113" t="s">
        <v>1896</v>
      </c>
      <c r="D113">
        <v>0</v>
      </c>
      <c r="E113" t="s">
        <v>1447</v>
      </c>
      <c r="F113" t="s">
        <v>1896</v>
      </c>
      <c r="G113" t="s">
        <v>1811</v>
      </c>
      <c r="H113" t="s">
        <v>1799</v>
      </c>
      <c r="I113">
        <v>1</v>
      </c>
      <c r="J113" t="s">
        <v>1799</v>
      </c>
      <c r="K113" t="s">
        <v>1799</v>
      </c>
      <c r="L113" t="s">
        <v>1799</v>
      </c>
      <c r="M113" t="s">
        <v>1799</v>
      </c>
      <c r="N113" t="s">
        <v>1799</v>
      </c>
      <c r="O113" s="184" t="str">
        <f>"["&amp;$C113&amp;"]["&amp;$D113&amp;"]["&amp;$F113&amp;"]"</f>
        <v>[PermitUpdateTotalNumber][0][PermitUpdateTotalNumber]</v>
      </c>
    </row>
    <row r="114" spans="1:15" x14ac:dyDescent="0.3">
      <c r="A114" t="s">
        <v>1793</v>
      </c>
      <c r="B114" t="s">
        <v>1897</v>
      </c>
      <c r="C114" t="s">
        <v>1898</v>
      </c>
      <c r="D114">
        <v>0</v>
      </c>
      <c r="E114" t="s">
        <v>1447</v>
      </c>
      <c r="F114" t="s">
        <v>1898</v>
      </c>
      <c r="G114" t="s">
        <v>1829</v>
      </c>
      <c r="H114" t="s">
        <v>1799</v>
      </c>
      <c r="I114" t="s">
        <v>1799</v>
      </c>
      <c r="J114" t="s">
        <v>1799</v>
      </c>
      <c r="K114" t="s">
        <v>1799</v>
      </c>
      <c r="L114" t="s">
        <v>1447</v>
      </c>
      <c r="M114" t="s">
        <v>1799</v>
      </c>
      <c r="N114" t="s">
        <v>1799</v>
      </c>
      <c r="O114" s="184" t="str">
        <f>"["&amp;$C114&amp;"]["&amp;$D114&amp;"]["&amp;$F114&amp;"]"</f>
        <v>[AdditionalNationalLegislation][0][AdditionalNationalLegislation]</v>
      </c>
    </row>
    <row r="115" spans="1:15" x14ac:dyDescent="0.3">
      <c r="A115" t="s">
        <v>1793</v>
      </c>
      <c r="B115" t="s">
        <v>1897</v>
      </c>
      <c r="C115" t="s">
        <v>1899</v>
      </c>
      <c r="D115">
        <v>0</v>
      </c>
      <c r="E115" t="s">
        <v>1447</v>
      </c>
      <c r="F115" t="s">
        <v>1899</v>
      </c>
      <c r="G115" t="s">
        <v>1829</v>
      </c>
      <c r="H115" t="s">
        <v>1799</v>
      </c>
      <c r="I115" t="s">
        <v>1799</v>
      </c>
      <c r="J115" t="s">
        <v>1799</v>
      </c>
      <c r="K115" t="s">
        <v>1799</v>
      </c>
      <c r="L115" t="s">
        <v>1447</v>
      </c>
      <c r="M115" t="s">
        <v>1799</v>
      </c>
      <c r="N115" t="s">
        <v>1799</v>
      </c>
      <c r="O115" s="184" t="str">
        <f>"["&amp;$C115&amp;"]["&amp;$D115&amp;"]["&amp;$F115&amp;"]"</f>
        <v>[AdditionalNationalGuidance][0][AdditionalNationalGuidance]</v>
      </c>
    </row>
    <row r="116" spans="1:15" x14ac:dyDescent="0.3">
      <c r="A116" t="s">
        <v>1793</v>
      </c>
      <c r="B116" t="s">
        <v>1900</v>
      </c>
      <c r="C116" t="s">
        <v>1901</v>
      </c>
      <c r="D116">
        <v>1</v>
      </c>
      <c r="E116" t="s">
        <v>1447</v>
      </c>
      <c r="F116" t="s">
        <v>1902</v>
      </c>
      <c r="G116" t="s">
        <v>1829</v>
      </c>
      <c r="H116" t="s">
        <v>1799</v>
      </c>
      <c r="I116" t="s">
        <v>1799</v>
      </c>
      <c r="J116" t="s">
        <v>1799</v>
      </c>
      <c r="K116" t="s">
        <v>1799</v>
      </c>
      <c r="L116" t="s">
        <v>1419</v>
      </c>
      <c r="M116" t="s">
        <v>1799</v>
      </c>
      <c r="N116" t="s">
        <v>1799</v>
      </c>
      <c r="O116" s="184" t="str">
        <f>"["&amp;$C116&amp;"]["&amp;$D116&amp;"]["&amp;$F116&amp;"]"</f>
        <v>[MeasuresStreamline][1][MeasuresStreamlineYesNo]</v>
      </c>
    </row>
    <row r="117" spans="1:15" x14ac:dyDescent="0.3">
      <c r="A117" t="s">
        <v>1793</v>
      </c>
      <c r="B117" t="s">
        <v>1900</v>
      </c>
      <c r="C117" t="s">
        <v>1901</v>
      </c>
      <c r="D117">
        <v>2</v>
      </c>
      <c r="E117" t="s">
        <v>1447</v>
      </c>
      <c r="F117" t="s">
        <v>1902</v>
      </c>
      <c r="G117" t="s">
        <v>1829</v>
      </c>
      <c r="H117" t="s">
        <v>1799</v>
      </c>
      <c r="I117" t="s">
        <v>1799</v>
      </c>
      <c r="J117" t="s">
        <v>1799</v>
      </c>
      <c r="K117" t="s">
        <v>1799</v>
      </c>
      <c r="L117" t="s">
        <v>1419</v>
      </c>
      <c r="M117" t="s">
        <v>1799</v>
      </c>
      <c r="N117" t="s">
        <v>1799</v>
      </c>
      <c r="O117" s="184" t="str">
        <f>"["&amp;$C117&amp;"]["&amp;$D117&amp;"]["&amp;$F117&amp;"]"</f>
        <v>[MeasuresStreamline][2][MeasuresStreamlineYesNo]</v>
      </c>
    </row>
    <row r="118" spans="1:15" x14ac:dyDescent="0.3">
      <c r="A118" t="s">
        <v>1793</v>
      </c>
      <c r="B118" t="s">
        <v>1900</v>
      </c>
      <c r="C118" t="s">
        <v>1901</v>
      </c>
      <c r="D118">
        <v>3</v>
      </c>
      <c r="E118" t="s">
        <v>1447</v>
      </c>
      <c r="F118" t="s">
        <v>1902</v>
      </c>
      <c r="G118" t="s">
        <v>1829</v>
      </c>
      <c r="H118" t="s">
        <v>1799</v>
      </c>
      <c r="I118" t="s">
        <v>1799</v>
      </c>
      <c r="J118" t="s">
        <v>1799</v>
      </c>
      <c r="K118" t="s">
        <v>1799</v>
      </c>
      <c r="L118" t="s">
        <v>1447</v>
      </c>
      <c r="M118" t="s">
        <v>1799</v>
      </c>
      <c r="N118" t="s">
        <v>1799</v>
      </c>
      <c r="O118" s="184" t="str">
        <f>"["&amp;$C118&amp;"]["&amp;$D118&amp;"]["&amp;$F118&amp;"]"</f>
        <v>[MeasuresStreamline][3][MeasuresStreamlineYesNo]</v>
      </c>
    </row>
    <row r="119" spans="1:15" x14ac:dyDescent="0.3">
      <c r="A119" t="s">
        <v>1793</v>
      </c>
      <c r="B119" t="s">
        <v>1900</v>
      </c>
      <c r="C119" t="s">
        <v>1901</v>
      </c>
      <c r="D119">
        <v>4</v>
      </c>
      <c r="E119" t="s">
        <v>1447</v>
      </c>
      <c r="F119" t="s">
        <v>1902</v>
      </c>
      <c r="G119" t="s">
        <v>1829</v>
      </c>
      <c r="H119" t="s">
        <v>1799</v>
      </c>
      <c r="I119" t="s">
        <v>1799</v>
      </c>
      <c r="J119" t="s">
        <v>1799</v>
      </c>
      <c r="K119" t="s">
        <v>1799</v>
      </c>
      <c r="L119" t="s">
        <v>1419</v>
      </c>
      <c r="M119" t="s">
        <v>1799</v>
      </c>
      <c r="N119" t="s">
        <v>1799</v>
      </c>
      <c r="O119" s="184" t="str">
        <f>"["&amp;$C119&amp;"]["&amp;$D119&amp;"]["&amp;$F119&amp;"]"</f>
        <v>[MeasuresStreamline][4][MeasuresStreamlineYesNo]</v>
      </c>
    </row>
    <row r="120" spans="1:15" x14ac:dyDescent="0.3">
      <c r="A120" t="s">
        <v>1793</v>
      </c>
      <c r="B120" t="s">
        <v>1900</v>
      </c>
      <c r="C120" t="s">
        <v>1901</v>
      </c>
      <c r="D120">
        <v>5</v>
      </c>
      <c r="E120" t="s">
        <v>1447</v>
      </c>
      <c r="F120" t="s">
        <v>1902</v>
      </c>
      <c r="G120" t="s">
        <v>1829</v>
      </c>
      <c r="H120" t="s">
        <v>1799</v>
      </c>
      <c r="I120" t="s">
        <v>1799</v>
      </c>
      <c r="J120" t="s">
        <v>1799</v>
      </c>
      <c r="K120" t="s">
        <v>1799</v>
      </c>
      <c r="L120" t="s">
        <v>1447</v>
      </c>
      <c r="M120" t="s">
        <v>1799</v>
      </c>
      <c r="N120" t="s">
        <v>1799</v>
      </c>
      <c r="O120" s="184" t="str">
        <f>"["&amp;$C120&amp;"]["&amp;$D120&amp;"]["&amp;$F120&amp;"]"</f>
        <v>[MeasuresStreamline][5][MeasuresStreamlineYesNo]</v>
      </c>
    </row>
    <row r="121" spans="1:15" x14ac:dyDescent="0.3">
      <c r="A121" t="s">
        <v>1793</v>
      </c>
      <c r="B121" t="s">
        <v>1900</v>
      </c>
      <c r="C121" t="s">
        <v>1901</v>
      </c>
      <c r="D121">
        <v>6</v>
      </c>
      <c r="E121" t="s">
        <v>1447</v>
      </c>
      <c r="F121" t="s">
        <v>1902</v>
      </c>
      <c r="G121" t="s">
        <v>1829</v>
      </c>
      <c r="H121" t="s">
        <v>1799</v>
      </c>
      <c r="I121" t="s">
        <v>1799</v>
      </c>
      <c r="J121" t="s">
        <v>1799</v>
      </c>
      <c r="K121" t="s">
        <v>1799</v>
      </c>
      <c r="L121" t="s">
        <v>1447</v>
      </c>
      <c r="M121" t="s">
        <v>1799</v>
      </c>
      <c r="N121" t="s">
        <v>1799</v>
      </c>
      <c r="O121" s="184" t="str">
        <f>"["&amp;$C121&amp;"]["&amp;$D121&amp;"]["&amp;$F121&amp;"]"</f>
        <v>[MeasuresStreamline][6][MeasuresStreamlineYesNo]</v>
      </c>
    </row>
    <row r="122" spans="1:15" x14ac:dyDescent="0.3">
      <c r="A122" t="s">
        <v>1793</v>
      </c>
      <c r="B122" t="s">
        <v>1900</v>
      </c>
      <c r="C122" t="s">
        <v>1901</v>
      </c>
      <c r="D122">
        <v>7</v>
      </c>
      <c r="E122" t="s">
        <v>1447</v>
      </c>
      <c r="F122" t="s">
        <v>1902</v>
      </c>
      <c r="G122" t="s">
        <v>1829</v>
      </c>
      <c r="H122" t="s">
        <v>1799</v>
      </c>
      <c r="I122" t="s">
        <v>1799</v>
      </c>
      <c r="J122" t="s">
        <v>1799</v>
      </c>
      <c r="K122" t="s">
        <v>1799</v>
      </c>
      <c r="L122" t="s">
        <v>1447</v>
      </c>
      <c r="M122" t="s">
        <v>1799</v>
      </c>
      <c r="N122" t="s">
        <v>1799</v>
      </c>
      <c r="O122" s="184" t="str">
        <f>"["&amp;$C122&amp;"]["&amp;$D122&amp;"]["&amp;$F122&amp;"]"</f>
        <v>[MeasuresStreamline][7][MeasuresStreamlineYesNo]</v>
      </c>
    </row>
    <row r="123" spans="1:15" x14ac:dyDescent="0.3">
      <c r="A123" t="s">
        <v>1793</v>
      </c>
      <c r="B123" t="s">
        <v>1900</v>
      </c>
      <c r="C123" t="s">
        <v>1901</v>
      </c>
      <c r="D123">
        <v>1</v>
      </c>
      <c r="E123" t="s">
        <v>1447</v>
      </c>
      <c r="F123" t="s">
        <v>1903</v>
      </c>
      <c r="G123" t="s">
        <v>1862</v>
      </c>
      <c r="H123" t="s">
        <v>1799</v>
      </c>
      <c r="I123" t="s">
        <v>1799</v>
      </c>
      <c r="J123" t="s">
        <v>1799</v>
      </c>
      <c r="K123" t="s">
        <v>1904</v>
      </c>
      <c r="L123" t="s">
        <v>1799</v>
      </c>
      <c r="M123" t="s">
        <v>1799</v>
      </c>
      <c r="N123" t="s">
        <v>1799</v>
      </c>
      <c r="O123" s="184" t="str">
        <f>"["&amp;$C123&amp;"]["&amp;$D123&amp;"]["&amp;$F123&amp;"]"</f>
        <v>[MeasuresStreamline][1][MeasuresStreamlineComments]</v>
      </c>
    </row>
    <row r="124" spans="1:15" x14ac:dyDescent="0.3">
      <c r="A124" t="s">
        <v>1793</v>
      </c>
      <c r="B124" t="s">
        <v>1900</v>
      </c>
      <c r="C124" t="s">
        <v>1901</v>
      </c>
      <c r="D124">
        <v>2</v>
      </c>
      <c r="E124" t="s">
        <v>1447</v>
      </c>
      <c r="F124" t="s">
        <v>1903</v>
      </c>
      <c r="G124" t="s">
        <v>1862</v>
      </c>
      <c r="H124" t="s">
        <v>1799</v>
      </c>
      <c r="I124" t="s">
        <v>1799</v>
      </c>
      <c r="J124" t="s">
        <v>1799</v>
      </c>
      <c r="K124" t="s">
        <v>1905</v>
      </c>
      <c r="L124" t="s">
        <v>1799</v>
      </c>
      <c r="M124" t="s">
        <v>1799</v>
      </c>
      <c r="N124" t="s">
        <v>1799</v>
      </c>
      <c r="O124" s="184" t="str">
        <f>"["&amp;$C124&amp;"]["&amp;$D124&amp;"]["&amp;$F124&amp;"]"</f>
        <v>[MeasuresStreamline][2][MeasuresStreamlineComments]</v>
      </c>
    </row>
    <row r="125" spans="1:15" x14ac:dyDescent="0.3">
      <c r="A125" t="s">
        <v>1793</v>
      </c>
      <c r="B125" t="s">
        <v>1906</v>
      </c>
      <c r="C125" t="s">
        <v>1907</v>
      </c>
      <c r="D125">
        <v>0</v>
      </c>
      <c r="E125" t="s">
        <v>1447</v>
      </c>
      <c r="F125" t="s">
        <v>1907</v>
      </c>
      <c r="G125" t="s">
        <v>1829</v>
      </c>
      <c r="H125" t="s">
        <v>1799</v>
      </c>
      <c r="I125" t="s">
        <v>1799</v>
      </c>
      <c r="J125" t="s">
        <v>1799</v>
      </c>
      <c r="K125" t="s">
        <v>1799</v>
      </c>
      <c r="L125" t="s">
        <v>1419</v>
      </c>
      <c r="M125" t="s">
        <v>1799</v>
      </c>
      <c r="N125" t="s">
        <v>1799</v>
      </c>
      <c r="O125" s="184" t="str">
        <f>"["&amp;$C125&amp;"]["&amp;$D125&amp;"]["&amp;$F125&amp;"]"</f>
        <v>[CommissionTemplatesMRR][0][CommissionTemplatesMRR]</v>
      </c>
    </row>
    <row r="126" spans="1:15" x14ac:dyDescent="0.3">
      <c r="A126" t="s">
        <v>1793</v>
      </c>
      <c r="B126" t="s">
        <v>1908</v>
      </c>
      <c r="C126" t="s">
        <v>1909</v>
      </c>
      <c r="D126">
        <v>0</v>
      </c>
      <c r="E126" t="s">
        <v>1447</v>
      </c>
      <c r="F126" t="s">
        <v>1909</v>
      </c>
      <c r="G126" t="s">
        <v>1829</v>
      </c>
      <c r="H126" t="s">
        <v>1799</v>
      </c>
      <c r="I126" t="s">
        <v>1799</v>
      </c>
      <c r="J126" t="s">
        <v>1799</v>
      </c>
      <c r="K126" t="s">
        <v>1799</v>
      </c>
      <c r="L126" t="s">
        <v>1447</v>
      </c>
      <c r="M126" t="s">
        <v>1799</v>
      </c>
      <c r="N126" t="s">
        <v>1799</v>
      </c>
      <c r="O126" s="184" t="str">
        <f>"["&amp;$C126&amp;"]["&amp;$D126&amp;"]["&amp;$F126&amp;"]"</f>
        <v>[AutomatedSystemInformationExchange][0][AutomatedSystemInformationExchange]</v>
      </c>
    </row>
    <row r="127" spans="1:15" x14ac:dyDescent="0.3">
      <c r="A127" t="s">
        <v>1793</v>
      </c>
      <c r="B127" t="s">
        <v>1910</v>
      </c>
      <c r="C127" t="s">
        <v>1911</v>
      </c>
      <c r="D127">
        <v>3</v>
      </c>
      <c r="E127" t="s">
        <v>1447</v>
      </c>
      <c r="F127" t="s">
        <v>1912</v>
      </c>
      <c r="G127" t="s">
        <v>1913</v>
      </c>
      <c r="H127" t="s">
        <v>1799</v>
      </c>
      <c r="I127" t="s">
        <v>1799</v>
      </c>
      <c r="J127">
        <v>110.64</v>
      </c>
      <c r="K127" t="s">
        <v>1799</v>
      </c>
      <c r="L127" t="s">
        <v>1799</v>
      </c>
      <c r="M127" t="s">
        <v>1799</v>
      </c>
      <c r="N127" t="s">
        <v>1799</v>
      </c>
      <c r="O127" s="184" t="str">
        <f>"["&amp;$C127&amp;"]["&amp;$D127&amp;"]["&amp;$F127&amp;"]"</f>
        <v>[S05_InstallationFuelConsEmissions][3][FuelConsumption]</v>
      </c>
    </row>
    <row r="128" spans="1:15" x14ac:dyDescent="0.3">
      <c r="A128" t="s">
        <v>1793</v>
      </c>
      <c r="B128" t="s">
        <v>1910</v>
      </c>
      <c r="C128" t="s">
        <v>1911</v>
      </c>
      <c r="D128">
        <v>5</v>
      </c>
      <c r="E128" t="s">
        <v>1447</v>
      </c>
      <c r="F128" t="s">
        <v>1912</v>
      </c>
      <c r="G128" t="s">
        <v>1913</v>
      </c>
      <c r="H128" t="s">
        <v>1799</v>
      </c>
      <c r="I128" t="s">
        <v>1799</v>
      </c>
      <c r="J128">
        <v>5272.79</v>
      </c>
      <c r="K128" t="s">
        <v>1799</v>
      </c>
      <c r="L128" t="s">
        <v>1799</v>
      </c>
      <c r="M128" t="s">
        <v>1799</v>
      </c>
      <c r="N128" t="s">
        <v>1799</v>
      </c>
      <c r="O128" s="184" t="str">
        <f>"["&amp;$C128&amp;"]["&amp;$D128&amp;"]["&amp;$F128&amp;"]"</f>
        <v>[S05_InstallationFuelConsEmissions][5][FuelConsumption]</v>
      </c>
    </row>
    <row r="129" spans="1:15" x14ac:dyDescent="0.3">
      <c r="A129" t="s">
        <v>1793</v>
      </c>
      <c r="B129" t="s">
        <v>1910</v>
      </c>
      <c r="C129" t="s">
        <v>1911</v>
      </c>
      <c r="D129">
        <v>6</v>
      </c>
      <c r="E129" t="s">
        <v>1447</v>
      </c>
      <c r="F129" t="s">
        <v>1912</v>
      </c>
      <c r="G129" t="s">
        <v>1913</v>
      </c>
      <c r="H129" t="s">
        <v>1799</v>
      </c>
      <c r="I129" t="s">
        <v>1799</v>
      </c>
      <c r="J129">
        <v>202.73</v>
      </c>
      <c r="K129" t="s">
        <v>1799</v>
      </c>
      <c r="L129" t="s">
        <v>1799</v>
      </c>
      <c r="M129" t="s">
        <v>1799</v>
      </c>
      <c r="N129" t="s">
        <v>1799</v>
      </c>
      <c r="O129" s="184" t="str">
        <f>"["&amp;$C129&amp;"]["&amp;$D129&amp;"]["&amp;$F129&amp;"]"</f>
        <v>[S05_InstallationFuelConsEmissions][6][FuelConsumption]</v>
      </c>
    </row>
    <row r="130" spans="1:15" x14ac:dyDescent="0.3">
      <c r="A130" t="s">
        <v>1793</v>
      </c>
      <c r="B130" t="s">
        <v>1910</v>
      </c>
      <c r="C130" t="s">
        <v>1911</v>
      </c>
      <c r="D130">
        <v>8</v>
      </c>
      <c r="E130" t="s">
        <v>1447</v>
      </c>
      <c r="F130" t="s">
        <v>1912</v>
      </c>
      <c r="G130" t="s">
        <v>1913</v>
      </c>
      <c r="H130" t="s">
        <v>1799</v>
      </c>
      <c r="I130" t="s">
        <v>1799</v>
      </c>
      <c r="J130">
        <v>12698.11</v>
      </c>
      <c r="K130" t="s">
        <v>1799</v>
      </c>
      <c r="L130" t="s">
        <v>1799</v>
      </c>
      <c r="M130" t="s">
        <v>1799</v>
      </c>
      <c r="N130" t="s">
        <v>1799</v>
      </c>
      <c r="O130" s="184" t="str">
        <f>"["&amp;$C130&amp;"]["&amp;$D130&amp;"]["&amp;$F130&amp;"]"</f>
        <v>[S05_InstallationFuelConsEmissions][8][FuelConsumption]</v>
      </c>
    </row>
    <row r="131" spans="1:15" x14ac:dyDescent="0.3">
      <c r="A131" t="s">
        <v>1793</v>
      </c>
      <c r="B131" t="s">
        <v>1910</v>
      </c>
      <c r="C131" t="s">
        <v>1911</v>
      </c>
      <c r="D131">
        <v>9</v>
      </c>
      <c r="E131" t="s">
        <v>1447</v>
      </c>
      <c r="F131" t="s">
        <v>1912</v>
      </c>
      <c r="G131" t="s">
        <v>1913</v>
      </c>
      <c r="H131" t="s">
        <v>1799</v>
      </c>
      <c r="I131" t="s">
        <v>1799</v>
      </c>
      <c r="J131">
        <v>4.03</v>
      </c>
      <c r="K131" t="s">
        <v>1799</v>
      </c>
      <c r="L131" t="s">
        <v>1799</v>
      </c>
      <c r="M131" t="s">
        <v>1799</v>
      </c>
      <c r="N131" t="s">
        <v>1799</v>
      </c>
      <c r="O131" s="184" t="str">
        <f>"["&amp;$C131&amp;"]["&amp;$D131&amp;"]["&amp;$F131&amp;"]"</f>
        <v>[S05_InstallationFuelConsEmissions][9][FuelConsumption]</v>
      </c>
    </row>
    <row r="132" spans="1:15" x14ac:dyDescent="0.3">
      <c r="A132" t="s">
        <v>1793</v>
      </c>
      <c r="B132" t="s">
        <v>1914</v>
      </c>
      <c r="C132" t="s">
        <v>1911</v>
      </c>
      <c r="D132">
        <v>12</v>
      </c>
      <c r="E132" t="s">
        <v>1447</v>
      </c>
      <c r="F132" t="s">
        <v>1912</v>
      </c>
      <c r="G132" t="s">
        <v>1913</v>
      </c>
      <c r="H132" t="s">
        <v>1799</v>
      </c>
      <c r="I132" t="s">
        <v>1799</v>
      </c>
      <c r="J132">
        <v>37285</v>
      </c>
      <c r="K132" t="s">
        <v>1799</v>
      </c>
      <c r="L132" t="s">
        <v>1799</v>
      </c>
      <c r="M132" t="s">
        <v>1799</v>
      </c>
      <c r="N132" t="s">
        <v>1799</v>
      </c>
      <c r="O132" s="184" t="str">
        <f>"["&amp;$C132&amp;"]["&amp;$D132&amp;"]["&amp;$F132&amp;"]"</f>
        <v>[S05_InstallationFuelConsEmissions][12][FuelConsumption]</v>
      </c>
    </row>
    <row r="133" spans="1:15" x14ac:dyDescent="0.3">
      <c r="A133" t="s">
        <v>1793</v>
      </c>
      <c r="B133" t="s">
        <v>1910</v>
      </c>
      <c r="C133" t="s">
        <v>1911</v>
      </c>
      <c r="D133">
        <v>3</v>
      </c>
      <c r="E133" t="s">
        <v>1447</v>
      </c>
      <c r="F133" t="s">
        <v>1915</v>
      </c>
      <c r="G133" t="s">
        <v>1913</v>
      </c>
      <c r="H133" t="s">
        <v>1799</v>
      </c>
      <c r="I133" t="s">
        <v>1799</v>
      </c>
      <c r="J133">
        <v>11715.14</v>
      </c>
      <c r="K133" t="s">
        <v>1799</v>
      </c>
      <c r="L133" t="s">
        <v>1799</v>
      </c>
      <c r="M133" t="s">
        <v>1799</v>
      </c>
      <c r="N133" t="s">
        <v>1799</v>
      </c>
      <c r="O133" s="184" t="str">
        <f>"["&amp;$C133&amp;"]["&amp;$D133&amp;"]["&amp;$F133&amp;"]"</f>
        <v>[S05_InstallationFuelConsEmissions][3][FuelAnnualEmissions]</v>
      </c>
    </row>
    <row r="134" spans="1:15" x14ac:dyDescent="0.3">
      <c r="A134" t="s">
        <v>1793</v>
      </c>
      <c r="B134" t="s">
        <v>1910</v>
      </c>
      <c r="C134" t="s">
        <v>1911</v>
      </c>
      <c r="D134">
        <v>5</v>
      </c>
      <c r="E134" t="s">
        <v>1447</v>
      </c>
      <c r="F134" t="s">
        <v>1915</v>
      </c>
      <c r="G134" t="s">
        <v>1913</v>
      </c>
      <c r="H134" t="s">
        <v>1799</v>
      </c>
      <c r="I134" t="s">
        <v>1799</v>
      </c>
      <c r="J134">
        <v>295319.36</v>
      </c>
      <c r="K134" t="s">
        <v>1799</v>
      </c>
      <c r="L134" t="s">
        <v>1799</v>
      </c>
      <c r="M134" t="s">
        <v>1799</v>
      </c>
      <c r="N134" t="s">
        <v>1799</v>
      </c>
      <c r="O134" s="184" t="str">
        <f>"["&amp;$C134&amp;"]["&amp;$D134&amp;"]["&amp;$F134&amp;"]"</f>
        <v>[S05_InstallationFuelConsEmissions][5][FuelAnnualEmissions]</v>
      </c>
    </row>
    <row r="135" spans="1:15" x14ac:dyDescent="0.3">
      <c r="A135" t="s">
        <v>1793</v>
      </c>
      <c r="B135" t="s">
        <v>1910</v>
      </c>
      <c r="C135" t="s">
        <v>1911</v>
      </c>
      <c r="D135">
        <v>6</v>
      </c>
      <c r="E135" t="s">
        <v>1447</v>
      </c>
      <c r="F135" t="s">
        <v>1915</v>
      </c>
      <c r="G135" t="s">
        <v>1913</v>
      </c>
      <c r="H135" t="s">
        <v>1799</v>
      </c>
      <c r="I135" t="s">
        <v>1799</v>
      </c>
      <c r="J135">
        <v>12399.13</v>
      </c>
      <c r="K135" t="s">
        <v>1799</v>
      </c>
      <c r="L135" t="s">
        <v>1799</v>
      </c>
      <c r="M135" t="s">
        <v>1799</v>
      </c>
      <c r="N135" t="s">
        <v>1799</v>
      </c>
      <c r="O135" s="184" t="str">
        <f>"["&amp;$C135&amp;"]["&amp;$D135&amp;"]["&amp;$F135&amp;"]"</f>
        <v>[S05_InstallationFuelConsEmissions][6][FuelAnnualEmissions]</v>
      </c>
    </row>
    <row r="136" spans="1:15" x14ac:dyDescent="0.3">
      <c r="A136" t="s">
        <v>1793</v>
      </c>
      <c r="B136" t="s">
        <v>1910</v>
      </c>
      <c r="C136" t="s">
        <v>1911</v>
      </c>
      <c r="D136">
        <v>8</v>
      </c>
      <c r="E136" t="s">
        <v>1447</v>
      </c>
      <c r="F136" t="s">
        <v>1915</v>
      </c>
      <c r="G136" t="s">
        <v>1913</v>
      </c>
      <c r="H136" t="s">
        <v>1799</v>
      </c>
      <c r="I136" t="s">
        <v>1799</v>
      </c>
      <c r="J136">
        <v>1140037.8999999999</v>
      </c>
      <c r="K136" t="s">
        <v>1799</v>
      </c>
      <c r="L136" t="s">
        <v>1799</v>
      </c>
      <c r="M136" t="s">
        <v>1799</v>
      </c>
      <c r="N136" t="s">
        <v>1799</v>
      </c>
      <c r="O136" s="184" t="str">
        <f>"["&amp;$C136&amp;"]["&amp;$D136&amp;"]["&amp;$F136&amp;"]"</f>
        <v>[S05_InstallationFuelConsEmissions][8][FuelAnnualEmissions]</v>
      </c>
    </row>
    <row r="137" spans="1:15" x14ac:dyDescent="0.3">
      <c r="A137" t="s">
        <v>1793</v>
      </c>
      <c r="B137" t="s">
        <v>1910</v>
      </c>
      <c r="C137" t="s">
        <v>1911</v>
      </c>
      <c r="D137">
        <v>9</v>
      </c>
      <c r="E137" t="s">
        <v>1447</v>
      </c>
      <c r="F137" t="s">
        <v>1915</v>
      </c>
      <c r="G137" t="s">
        <v>1913</v>
      </c>
      <c r="H137" t="s">
        <v>1799</v>
      </c>
      <c r="I137" t="s">
        <v>1799</v>
      </c>
      <c r="J137">
        <v>311</v>
      </c>
      <c r="K137" t="s">
        <v>1799</v>
      </c>
      <c r="L137" t="s">
        <v>1799</v>
      </c>
      <c r="M137" t="s">
        <v>1799</v>
      </c>
      <c r="N137" t="s">
        <v>1799</v>
      </c>
      <c r="O137" s="184" t="str">
        <f>"["&amp;$C137&amp;"]["&amp;$D137&amp;"]["&amp;$F137&amp;"]"</f>
        <v>[S05_InstallationFuelConsEmissions][9][FuelAnnualEmissions]</v>
      </c>
    </row>
    <row r="138" spans="1:15" x14ac:dyDescent="0.3">
      <c r="A138" t="s">
        <v>1793</v>
      </c>
      <c r="B138" t="s">
        <v>1910</v>
      </c>
      <c r="C138" t="s">
        <v>1911</v>
      </c>
      <c r="D138">
        <v>12</v>
      </c>
      <c r="E138" t="s">
        <v>1447</v>
      </c>
      <c r="F138" t="s">
        <v>1915</v>
      </c>
      <c r="G138" t="s">
        <v>1913</v>
      </c>
      <c r="H138" t="s">
        <v>1799</v>
      </c>
      <c r="I138" t="s">
        <v>1799</v>
      </c>
      <c r="J138">
        <v>3784962</v>
      </c>
      <c r="K138" t="s">
        <v>1799</v>
      </c>
      <c r="L138" t="s">
        <v>1799</v>
      </c>
      <c r="M138" t="s">
        <v>1799</v>
      </c>
      <c r="N138" t="s">
        <v>1799</v>
      </c>
      <c r="O138" s="184" t="str">
        <f>"["&amp;$C138&amp;"]["&amp;$D138&amp;"]["&amp;$F138&amp;"]"</f>
        <v>[S05_InstallationFuelConsEmissions][12][FuelAnnualEmissions]</v>
      </c>
    </row>
    <row r="139" spans="1:15" x14ac:dyDescent="0.3">
      <c r="A139" t="s">
        <v>1793</v>
      </c>
      <c r="B139" t="s">
        <v>1916</v>
      </c>
      <c r="C139" t="s">
        <v>1917</v>
      </c>
      <c r="D139">
        <v>1</v>
      </c>
      <c r="E139" t="s">
        <v>1447</v>
      </c>
      <c r="F139" t="s">
        <v>1918</v>
      </c>
      <c r="G139" t="s">
        <v>1737</v>
      </c>
      <c r="H139" t="s">
        <v>1799</v>
      </c>
      <c r="I139" t="s">
        <v>1799</v>
      </c>
      <c r="J139" t="s">
        <v>1799</v>
      </c>
      <c r="K139" t="s">
        <v>1799</v>
      </c>
      <c r="L139" t="s">
        <v>1425</v>
      </c>
      <c r="M139" t="s">
        <v>1799</v>
      </c>
      <c r="N139" t="s">
        <v>1799</v>
      </c>
      <c r="O139" s="184" t="str">
        <f>"["&amp;$C139&amp;"]["&amp;$D139&amp;"]["&amp;$F139&amp;"]"</f>
        <v>[S05_AggregateTotalEmissionsByCRF][1][CRFCategory1]</v>
      </c>
    </row>
    <row r="140" spans="1:15" x14ac:dyDescent="0.3">
      <c r="A140" t="s">
        <v>1793</v>
      </c>
      <c r="B140" t="s">
        <v>1916</v>
      </c>
      <c r="C140" t="s">
        <v>1917</v>
      </c>
      <c r="D140">
        <v>2</v>
      </c>
      <c r="E140" t="s">
        <v>1447</v>
      </c>
      <c r="F140" t="s">
        <v>1918</v>
      </c>
      <c r="G140" t="s">
        <v>1737</v>
      </c>
      <c r="H140" t="s">
        <v>1799</v>
      </c>
      <c r="I140" t="s">
        <v>1799</v>
      </c>
      <c r="J140" t="s">
        <v>1799</v>
      </c>
      <c r="K140" t="s">
        <v>1799</v>
      </c>
      <c r="L140" t="s">
        <v>1425</v>
      </c>
      <c r="M140" t="s">
        <v>1799</v>
      </c>
      <c r="N140" t="s">
        <v>1799</v>
      </c>
      <c r="O140" s="184" t="str">
        <f>"["&amp;$C140&amp;"]["&amp;$D140&amp;"]["&amp;$F140&amp;"]"</f>
        <v>[S05_AggregateTotalEmissionsByCRF][2][CRFCategory1]</v>
      </c>
    </row>
    <row r="141" spans="1:15" x14ac:dyDescent="0.3">
      <c r="A141" t="s">
        <v>1793</v>
      </c>
      <c r="B141" t="s">
        <v>1916</v>
      </c>
      <c r="C141" t="s">
        <v>1917</v>
      </c>
      <c r="D141">
        <v>3</v>
      </c>
      <c r="E141" t="s">
        <v>1447</v>
      </c>
      <c r="F141" t="s">
        <v>1918</v>
      </c>
      <c r="G141" t="s">
        <v>1737</v>
      </c>
      <c r="H141" t="s">
        <v>1799</v>
      </c>
      <c r="I141" t="s">
        <v>1799</v>
      </c>
      <c r="J141" t="s">
        <v>1799</v>
      </c>
      <c r="K141" t="s">
        <v>1799</v>
      </c>
      <c r="L141" t="s">
        <v>1481</v>
      </c>
      <c r="M141" t="s">
        <v>1799</v>
      </c>
      <c r="N141" t="s">
        <v>1799</v>
      </c>
      <c r="O141" s="184" t="str">
        <f>"["&amp;$C141&amp;"]["&amp;$D141&amp;"]["&amp;$F141&amp;"]"</f>
        <v>[S05_AggregateTotalEmissionsByCRF][3][CRFCategory1]</v>
      </c>
    </row>
    <row r="142" spans="1:15" x14ac:dyDescent="0.3">
      <c r="A142" t="s">
        <v>1793</v>
      </c>
      <c r="B142" t="s">
        <v>1916</v>
      </c>
      <c r="C142" t="s">
        <v>1917</v>
      </c>
      <c r="D142">
        <v>4</v>
      </c>
      <c r="E142" t="s">
        <v>1447</v>
      </c>
      <c r="F142" t="s">
        <v>1918</v>
      </c>
      <c r="G142" t="s">
        <v>1737</v>
      </c>
      <c r="H142" t="s">
        <v>1799</v>
      </c>
      <c r="I142" t="s">
        <v>1799</v>
      </c>
      <c r="J142" t="s">
        <v>1799</v>
      </c>
      <c r="K142" t="s">
        <v>1799</v>
      </c>
      <c r="L142" t="s">
        <v>1558</v>
      </c>
      <c r="M142" t="s">
        <v>1799</v>
      </c>
      <c r="N142" t="s">
        <v>1799</v>
      </c>
      <c r="O142" s="184" t="str">
        <f>"["&amp;$C142&amp;"]["&amp;$D142&amp;"]["&amp;$F142&amp;"]"</f>
        <v>[S05_AggregateTotalEmissionsByCRF][4][CRFCategory1]</v>
      </c>
    </row>
    <row r="143" spans="1:15" x14ac:dyDescent="0.3">
      <c r="A143" t="s">
        <v>1793</v>
      </c>
      <c r="B143" t="s">
        <v>1916</v>
      </c>
      <c r="C143" t="s">
        <v>1917</v>
      </c>
      <c r="D143">
        <v>5</v>
      </c>
      <c r="E143" t="s">
        <v>1447</v>
      </c>
      <c r="F143" t="s">
        <v>1918</v>
      </c>
      <c r="G143" t="s">
        <v>1737</v>
      </c>
      <c r="H143" t="s">
        <v>1799</v>
      </c>
      <c r="I143" t="s">
        <v>1799</v>
      </c>
      <c r="J143" t="s">
        <v>1799</v>
      </c>
      <c r="K143" t="s">
        <v>1799</v>
      </c>
      <c r="L143" t="s">
        <v>1569</v>
      </c>
      <c r="M143" t="s">
        <v>1799</v>
      </c>
      <c r="N143" t="s">
        <v>1799</v>
      </c>
      <c r="O143" s="184" t="str">
        <f>"["&amp;$C143&amp;"]["&amp;$D143&amp;"]["&amp;$F143&amp;"]"</f>
        <v>[S05_AggregateTotalEmissionsByCRF][5][CRFCategory1]</v>
      </c>
    </row>
    <row r="144" spans="1:15" x14ac:dyDescent="0.3">
      <c r="A144" t="s">
        <v>1793</v>
      </c>
      <c r="B144" t="s">
        <v>1916</v>
      </c>
      <c r="C144" t="s">
        <v>1917</v>
      </c>
      <c r="D144">
        <v>6</v>
      </c>
      <c r="E144" t="s">
        <v>1447</v>
      </c>
      <c r="F144" t="s">
        <v>1918</v>
      </c>
      <c r="G144" t="s">
        <v>1737</v>
      </c>
      <c r="H144" t="s">
        <v>1799</v>
      </c>
      <c r="I144" t="s">
        <v>1799</v>
      </c>
      <c r="J144" t="s">
        <v>1799</v>
      </c>
      <c r="K144" t="s">
        <v>1799</v>
      </c>
      <c r="L144" t="s">
        <v>1574</v>
      </c>
      <c r="M144" t="s">
        <v>1799</v>
      </c>
      <c r="N144" t="s">
        <v>1799</v>
      </c>
      <c r="O144" s="184" t="str">
        <f>"["&amp;$C144&amp;"]["&amp;$D144&amp;"]["&amp;$F144&amp;"]"</f>
        <v>[S05_AggregateTotalEmissionsByCRF][6][CRFCategory1]</v>
      </c>
    </row>
    <row r="145" spans="1:15" x14ac:dyDescent="0.3">
      <c r="A145" t="s">
        <v>1793</v>
      </c>
      <c r="B145" t="s">
        <v>1916</v>
      </c>
      <c r="C145" t="s">
        <v>1917</v>
      </c>
      <c r="D145">
        <v>7</v>
      </c>
      <c r="E145" t="s">
        <v>1447</v>
      </c>
      <c r="F145" t="s">
        <v>1918</v>
      </c>
      <c r="G145" t="s">
        <v>1737</v>
      </c>
      <c r="H145" t="s">
        <v>1799</v>
      </c>
      <c r="I145" t="s">
        <v>1799</v>
      </c>
      <c r="J145" t="s">
        <v>1799</v>
      </c>
      <c r="K145" t="s">
        <v>1799</v>
      </c>
      <c r="L145" t="s">
        <v>1593</v>
      </c>
      <c r="M145" t="s">
        <v>1799</v>
      </c>
      <c r="N145" t="s">
        <v>1799</v>
      </c>
      <c r="O145" s="184" t="str">
        <f>"["&amp;$C145&amp;"]["&amp;$D145&amp;"]["&amp;$F145&amp;"]"</f>
        <v>[S05_AggregateTotalEmissionsByCRF][7][CRFCategory1]</v>
      </c>
    </row>
    <row r="146" spans="1:15" x14ac:dyDescent="0.3">
      <c r="A146" t="s">
        <v>1793</v>
      </c>
      <c r="B146" t="s">
        <v>1916</v>
      </c>
      <c r="C146" t="s">
        <v>1917</v>
      </c>
      <c r="D146">
        <v>8</v>
      </c>
      <c r="E146" t="s">
        <v>1447</v>
      </c>
      <c r="F146" t="s">
        <v>1918</v>
      </c>
      <c r="G146" t="s">
        <v>1737</v>
      </c>
      <c r="H146" t="s">
        <v>1799</v>
      </c>
      <c r="I146" t="s">
        <v>1799</v>
      </c>
      <c r="J146" t="s">
        <v>1799</v>
      </c>
      <c r="K146" t="s">
        <v>1799</v>
      </c>
      <c r="L146" t="s">
        <v>1637</v>
      </c>
      <c r="M146" t="s">
        <v>1799</v>
      </c>
      <c r="N146" t="s">
        <v>1799</v>
      </c>
      <c r="O146" s="184" t="str">
        <f>"["&amp;$C146&amp;"]["&amp;$D146&amp;"]["&amp;$F146&amp;"]"</f>
        <v>[S05_AggregateTotalEmissionsByCRF][8][CRFCategory1]</v>
      </c>
    </row>
    <row r="147" spans="1:15" x14ac:dyDescent="0.3">
      <c r="A147" t="s">
        <v>1793</v>
      </c>
      <c r="B147" t="s">
        <v>1916</v>
      </c>
      <c r="C147" t="s">
        <v>1917</v>
      </c>
      <c r="D147">
        <v>9</v>
      </c>
      <c r="E147" t="s">
        <v>1447</v>
      </c>
      <c r="F147" t="s">
        <v>1918</v>
      </c>
      <c r="G147" t="s">
        <v>1737</v>
      </c>
      <c r="H147" t="s">
        <v>1799</v>
      </c>
      <c r="I147" t="s">
        <v>1799</v>
      </c>
      <c r="J147" t="s">
        <v>1799</v>
      </c>
      <c r="K147" t="s">
        <v>1799</v>
      </c>
      <c r="L147" t="s">
        <v>1637</v>
      </c>
      <c r="M147" t="s">
        <v>1799</v>
      </c>
      <c r="N147" t="s">
        <v>1799</v>
      </c>
      <c r="O147" s="184" t="str">
        <f>"["&amp;$C147&amp;"]["&amp;$D147&amp;"]["&amp;$F147&amp;"]"</f>
        <v>[S05_AggregateTotalEmissionsByCRF][9][CRFCategory1]</v>
      </c>
    </row>
    <row r="148" spans="1:15" x14ac:dyDescent="0.3">
      <c r="A148" t="s">
        <v>1793</v>
      </c>
      <c r="B148" t="s">
        <v>1916</v>
      </c>
      <c r="C148" t="s">
        <v>1917</v>
      </c>
      <c r="D148">
        <v>10</v>
      </c>
      <c r="E148" t="s">
        <v>1447</v>
      </c>
      <c r="F148" t="s">
        <v>1918</v>
      </c>
      <c r="G148" t="s">
        <v>1737</v>
      </c>
      <c r="H148" t="s">
        <v>1799</v>
      </c>
      <c r="I148" t="s">
        <v>1799</v>
      </c>
      <c r="J148" t="s">
        <v>1799</v>
      </c>
      <c r="K148" t="s">
        <v>1799</v>
      </c>
      <c r="L148" t="s">
        <v>1608</v>
      </c>
      <c r="M148" t="s">
        <v>1799</v>
      </c>
      <c r="N148" t="s">
        <v>1799</v>
      </c>
      <c r="O148" s="184" t="str">
        <f>"["&amp;$C148&amp;"]["&amp;$D148&amp;"]["&amp;$F148&amp;"]"</f>
        <v>[S05_AggregateTotalEmissionsByCRF][10][CRFCategory1]</v>
      </c>
    </row>
    <row r="149" spans="1:15" x14ac:dyDescent="0.3">
      <c r="A149" t="s">
        <v>1793</v>
      </c>
      <c r="B149" t="s">
        <v>1916</v>
      </c>
      <c r="C149" t="s">
        <v>1917</v>
      </c>
      <c r="D149">
        <v>2</v>
      </c>
      <c r="E149" t="s">
        <v>1447</v>
      </c>
      <c r="F149" t="s">
        <v>1919</v>
      </c>
      <c r="G149" t="s">
        <v>1737</v>
      </c>
      <c r="H149" t="s">
        <v>1799</v>
      </c>
      <c r="I149" t="s">
        <v>1799</v>
      </c>
      <c r="J149" t="s">
        <v>1799</v>
      </c>
      <c r="K149" t="s">
        <v>1799</v>
      </c>
      <c r="L149" t="s">
        <v>1454</v>
      </c>
      <c r="M149" t="s">
        <v>1799</v>
      </c>
      <c r="N149" t="s">
        <v>1799</v>
      </c>
      <c r="O149" s="184" t="str">
        <f>"["&amp;$C149&amp;"]["&amp;$D149&amp;"]["&amp;$F149&amp;"]"</f>
        <v>[S05_AggregateTotalEmissionsByCRF][2][CRFCategory2]</v>
      </c>
    </row>
    <row r="150" spans="1:15" x14ac:dyDescent="0.3">
      <c r="A150" t="s">
        <v>1793</v>
      </c>
      <c r="B150" t="s">
        <v>1916</v>
      </c>
      <c r="C150" t="s">
        <v>1917</v>
      </c>
      <c r="D150">
        <v>8</v>
      </c>
      <c r="E150" t="s">
        <v>1447</v>
      </c>
      <c r="F150" t="s">
        <v>1919</v>
      </c>
      <c r="G150" t="s">
        <v>1737</v>
      </c>
      <c r="H150" t="s">
        <v>1799</v>
      </c>
      <c r="I150" t="s">
        <v>1799</v>
      </c>
      <c r="J150" t="s">
        <v>1799</v>
      </c>
      <c r="K150" t="s">
        <v>1799</v>
      </c>
      <c r="L150" t="s">
        <v>1454</v>
      </c>
      <c r="M150" t="s">
        <v>1799</v>
      </c>
      <c r="N150" t="s">
        <v>1799</v>
      </c>
      <c r="O150" s="184" t="str">
        <f>"["&amp;$C150&amp;"]["&amp;$D150&amp;"]["&amp;$F150&amp;"]"</f>
        <v>[S05_AggregateTotalEmissionsByCRF][8][CRFCategory2]</v>
      </c>
    </row>
    <row r="151" spans="1:15" x14ac:dyDescent="0.3">
      <c r="A151" t="s">
        <v>1793</v>
      </c>
      <c r="B151" t="s">
        <v>1916</v>
      </c>
      <c r="C151" t="s">
        <v>1917</v>
      </c>
      <c r="D151">
        <v>9</v>
      </c>
      <c r="E151" t="s">
        <v>1447</v>
      </c>
      <c r="F151" t="s">
        <v>1919</v>
      </c>
      <c r="G151" t="s">
        <v>1737</v>
      </c>
      <c r="H151" t="s">
        <v>1799</v>
      </c>
      <c r="I151" t="s">
        <v>1799</v>
      </c>
      <c r="J151" t="s">
        <v>1799</v>
      </c>
      <c r="K151" t="s">
        <v>1799</v>
      </c>
      <c r="L151" t="s">
        <v>1504</v>
      </c>
      <c r="M151" t="s">
        <v>1799</v>
      </c>
      <c r="N151" t="s">
        <v>1799</v>
      </c>
      <c r="O151" s="184" t="str">
        <f>"["&amp;$C151&amp;"]["&amp;$D151&amp;"]["&amp;$F151&amp;"]"</f>
        <v>[S05_AggregateTotalEmissionsByCRF][9][CRFCategory2]</v>
      </c>
    </row>
    <row r="152" spans="1:15" x14ac:dyDescent="0.3">
      <c r="A152" t="s">
        <v>1793</v>
      </c>
      <c r="B152" t="s">
        <v>1916</v>
      </c>
      <c r="C152" t="s">
        <v>1917</v>
      </c>
      <c r="D152">
        <v>10</v>
      </c>
      <c r="E152" t="s">
        <v>1447</v>
      </c>
      <c r="F152" t="s">
        <v>1919</v>
      </c>
      <c r="G152" t="s">
        <v>1737</v>
      </c>
      <c r="H152" t="s">
        <v>1799</v>
      </c>
      <c r="I152" t="s">
        <v>1799</v>
      </c>
      <c r="J152" t="s">
        <v>1799</v>
      </c>
      <c r="K152" t="s">
        <v>1799</v>
      </c>
      <c r="L152" t="s">
        <v>1482</v>
      </c>
      <c r="M152" t="s">
        <v>1799</v>
      </c>
      <c r="N152" t="s">
        <v>1799</v>
      </c>
      <c r="O152" s="184" t="str">
        <f>"["&amp;$C152&amp;"]["&amp;$D152&amp;"]["&amp;$F152&amp;"]"</f>
        <v>[S05_AggregateTotalEmissionsByCRF][10][CRFCategory2]</v>
      </c>
    </row>
    <row r="153" spans="1:15" x14ac:dyDescent="0.3">
      <c r="A153" t="s">
        <v>1793</v>
      </c>
      <c r="B153" t="s">
        <v>1916</v>
      </c>
      <c r="C153" t="s">
        <v>1917</v>
      </c>
      <c r="D153">
        <v>1</v>
      </c>
      <c r="E153" t="s">
        <v>1447</v>
      </c>
      <c r="F153" t="s">
        <v>1920</v>
      </c>
      <c r="G153" t="s">
        <v>1913</v>
      </c>
      <c r="H153" t="s">
        <v>1799</v>
      </c>
      <c r="I153" t="s">
        <v>1799</v>
      </c>
      <c r="J153">
        <v>4524796</v>
      </c>
      <c r="K153" t="s">
        <v>1799</v>
      </c>
      <c r="L153" t="s">
        <v>1799</v>
      </c>
      <c r="M153" t="s">
        <v>1799</v>
      </c>
      <c r="N153" t="s">
        <v>1799</v>
      </c>
      <c r="O153" s="184" t="str">
        <f>"["&amp;$C153&amp;"]["&amp;$D153&amp;"]["&amp;$F153&amp;"]"</f>
        <v>[S05_AggregateTotalEmissionsByCRF][1][TotalEmissionsTCo2e]</v>
      </c>
    </row>
    <row r="154" spans="1:15" x14ac:dyDescent="0.3">
      <c r="A154" t="s">
        <v>1793</v>
      </c>
      <c r="B154" t="s">
        <v>1916</v>
      </c>
      <c r="C154" t="s">
        <v>1917</v>
      </c>
      <c r="D154">
        <v>2</v>
      </c>
      <c r="E154" t="s">
        <v>1447</v>
      </c>
      <c r="F154" t="s">
        <v>1920</v>
      </c>
      <c r="G154" t="s">
        <v>1913</v>
      </c>
      <c r="H154" t="s">
        <v>1799</v>
      </c>
      <c r="I154" t="s">
        <v>1799</v>
      </c>
      <c r="J154">
        <v>593857</v>
      </c>
      <c r="K154" t="s">
        <v>1799</v>
      </c>
      <c r="L154" t="s">
        <v>1799</v>
      </c>
      <c r="M154" t="s">
        <v>1799</v>
      </c>
      <c r="N154" t="s">
        <v>1799</v>
      </c>
      <c r="O154" s="184" t="str">
        <f>"["&amp;$C154&amp;"]["&amp;$D154&amp;"]["&amp;$F154&amp;"]"</f>
        <v>[S05_AggregateTotalEmissionsByCRF][2][TotalEmissionsTCo2e]</v>
      </c>
    </row>
    <row r="155" spans="1:15" x14ac:dyDescent="0.3">
      <c r="A155" t="s">
        <v>1793</v>
      </c>
      <c r="B155" t="s">
        <v>1916</v>
      </c>
      <c r="C155" t="s">
        <v>1917</v>
      </c>
      <c r="D155">
        <v>3</v>
      </c>
      <c r="E155" t="s">
        <v>1447</v>
      </c>
      <c r="F155" t="s">
        <v>1920</v>
      </c>
      <c r="G155" t="s">
        <v>1913</v>
      </c>
      <c r="H155" t="s">
        <v>1799</v>
      </c>
      <c r="I155" t="s">
        <v>1799</v>
      </c>
      <c r="J155">
        <v>48775</v>
      </c>
      <c r="K155" t="s">
        <v>1799</v>
      </c>
      <c r="L155" t="s">
        <v>1799</v>
      </c>
      <c r="M155" t="s">
        <v>1799</v>
      </c>
      <c r="N155" t="s">
        <v>1799</v>
      </c>
      <c r="O155" s="184" t="str">
        <f>"["&amp;$C155&amp;"]["&amp;$D155&amp;"]["&amp;$F155&amp;"]"</f>
        <v>[S05_AggregateTotalEmissionsByCRF][3][TotalEmissionsTCo2e]</v>
      </c>
    </row>
    <row r="156" spans="1:15" x14ac:dyDescent="0.3">
      <c r="A156" t="s">
        <v>1793</v>
      </c>
      <c r="B156" t="s">
        <v>1916</v>
      </c>
      <c r="C156" t="s">
        <v>1917</v>
      </c>
      <c r="D156">
        <v>4</v>
      </c>
      <c r="E156" t="s">
        <v>1447</v>
      </c>
      <c r="F156" t="s">
        <v>1920</v>
      </c>
      <c r="G156" t="s">
        <v>1913</v>
      </c>
      <c r="H156" t="s">
        <v>1799</v>
      </c>
      <c r="I156" t="s">
        <v>1799</v>
      </c>
      <c r="J156">
        <v>40722</v>
      </c>
      <c r="K156" t="s">
        <v>1799</v>
      </c>
      <c r="L156" t="s">
        <v>1799</v>
      </c>
      <c r="M156" t="s">
        <v>1799</v>
      </c>
      <c r="N156" t="s">
        <v>1799</v>
      </c>
      <c r="O156" s="184" t="str">
        <f>"["&amp;$C156&amp;"]["&amp;$D156&amp;"]["&amp;$F156&amp;"]"</f>
        <v>[S05_AggregateTotalEmissionsByCRF][4][TotalEmissionsTCo2e]</v>
      </c>
    </row>
    <row r="157" spans="1:15" x14ac:dyDescent="0.3">
      <c r="A157" t="s">
        <v>1793</v>
      </c>
      <c r="B157" t="s">
        <v>1916</v>
      </c>
      <c r="C157" t="s">
        <v>1917</v>
      </c>
      <c r="D157">
        <v>5</v>
      </c>
      <c r="E157" t="s">
        <v>1447</v>
      </c>
      <c r="F157" t="s">
        <v>1920</v>
      </c>
      <c r="G157" t="s">
        <v>1913</v>
      </c>
      <c r="H157" t="s">
        <v>1799</v>
      </c>
      <c r="I157" t="s">
        <v>1799</v>
      </c>
      <c r="J157">
        <v>5251</v>
      </c>
      <c r="K157" t="s">
        <v>1799</v>
      </c>
      <c r="L157" t="s">
        <v>1799</v>
      </c>
      <c r="M157" t="s">
        <v>1799</v>
      </c>
      <c r="N157" t="s">
        <v>1799</v>
      </c>
      <c r="O157" s="184" t="str">
        <f>"["&amp;$C157&amp;"]["&amp;$D157&amp;"]["&amp;$F157&amp;"]"</f>
        <v>[S05_AggregateTotalEmissionsByCRF][5][TotalEmissionsTCo2e]</v>
      </c>
    </row>
    <row r="158" spans="1:15" x14ac:dyDescent="0.3">
      <c r="A158" t="s">
        <v>1793</v>
      </c>
      <c r="B158" t="s">
        <v>1916</v>
      </c>
      <c r="C158" t="s">
        <v>1917</v>
      </c>
      <c r="D158">
        <v>6</v>
      </c>
      <c r="E158" t="s">
        <v>1447</v>
      </c>
      <c r="F158" t="s">
        <v>1920</v>
      </c>
      <c r="G158" t="s">
        <v>1913</v>
      </c>
      <c r="H158" t="s">
        <v>1799</v>
      </c>
      <c r="I158" t="s">
        <v>1799</v>
      </c>
      <c r="J158">
        <v>14700</v>
      </c>
      <c r="K158" t="s">
        <v>1799</v>
      </c>
      <c r="L158" t="s">
        <v>1799</v>
      </c>
      <c r="M158" t="s">
        <v>1799</v>
      </c>
      <c r="N158" t="s">
        <v>1799</v>
      </c>
      <c r="O158" s="184" t="str">
        <f>"["&amp;$C158&amp;"]["&amp;$D158&amp;"]["&amp;$F158&amp;"]"</f>
        <v>[S05_AggregateTotalEmissionsByCRF][6][TotalEmissionsTCo2e]</v>
      </c>
    </row>
    <row r="159" spans="1:15" x14ac:dyDescent="0.3">
      <c r="A159" t="s">
        <v>1793</v>
      </c>
      <c r="B159" t="s">
        <v>1916</v>
      </c>
      <c r="C159" t="s">
        <v>1917</v>
      </c>
      <c r="D159">
        <v>7</v>
      </c>
      <c r="E159" t="s">
        <v>1447</v>
      </c>
      <c r="F159" t="s">
        <v>1920</v>
      </c>
      <c r="G159" t="s">
        <v>1913</v>
      </c>
      <c r="H159" t="s">
        <v>1799</v>
      </c>
      <c r="I159" t="s">
        <v>1799</v>
      </c>
      <c r="J159">
        <v>1314</v>
      </c>
      <c r="K159" t="s">
        <v>1799</v>
      </c>
      <c r="L159" t="s">
        <v>1799</v>
      </c>
      <c r="M159" t="s">
        <v>1799</v>
      </c>
      <c r="N159" t="s">
        <v>1799</v>
      </c>
      <c r="O159" s="184" t="str">
        <f>"["&amp;$C159&amp;"]["&amp;$D159&amp;"]["&amp;$F159&amp;"]"</f>
        <v>[S05_AggregateTotalEmissionsByCRF][7][TotalEmissionsTCo2e]</v>
      </c>
    </row>
    <row r="160" spans="1:15" x14ac:dyDescent="0.3">
      <c r="A160" t="s">
        <v>1793</v>
      </c>
      <c r="B160" t="s">
        <v>1916</v>
      </c>
      <c r="C160" t="s">
        <v>1917</v>
      </c>
      <c r="D160">
        <v>8</v>
      </c>
      <c r="E160" t="s">
        <v>1447</v>
      </c>
      <c r="F160" t="s">
        <v>1920</v>
      </c>
      <c r="G160" t="s">
        <v>1913</v>
      </c>
      <c r="H160" t="s">
        <v>1799</v>
      </c>
      <c r="I160" t="s">
        <v>1799</v>
      </c>
      <c r="J160">
        <v>33490</v>
      </c>
      <c r="K160" t="s">
        <v>1799</v>
      </c>
      <c r="L160" t="s">
        <v>1799</v>
      </c>
      <c r="M160" t="s">
        <v>1799</v>
      </c>
      <c r="N160" t="s">
        <v>1799</v>
      </c>
      <c r="O160" s="184" t="str">
        <f>"["&amp;$C160&amp;"]["&amp;$D160&amp;"]["&amp;$F160&amp;"]"</f>
        <v>[S05_AggregateTotalEmissionsByCRF][8][TotalEmissionsTCo2e]</v>
      </c>
    </row>
    <row r="161" spans="1:15" x14ac:dyDescent="0.3">
      <c r="A161" t="s">
        <v>1793</v>
      </c>
      <c r="B161" t="s">
        <v>1916</v>
      </c>
      <c r="C161" t="s">
        <v>1917</v>
      </c>
      <c r="D161">
        <v>9</v>
      </c>
      <c r="E161" t="s">
        <v>1447</v>
      </c>
      <c r="F161" t="s">
        <v>1920</v>
      </c>
      <c r="G161" t="s">
        <v>1913</v>
      </c>
      <c r="H161" t="s">
        <v>1799</v>
      </c>
      <c r="I161" t="s">
        <v>1799</v>
      </c>
      <c r="J161">
        <v>6220</v>
      </c>
      <c r="K161" t="s">
        <v>1799</v>
      </c>
      <c r="L161" t="s">
        <v>1799</v>
      </c>
      <c r="M161" t="s">
        <v>1799</v>
      </c>
      <c r="N161" t="s">
        <v>1799</v>
      </c>
      <c r="O161" s="184" t="str">
        <f>"["&amp;$C161&amp;"]["&amp;$D161&amp;"]["&amp;$F161&amp;"]"</f>
        <v>[S05_AggregateTotalEmissionsByCRF][9][TotalEmissionsTCo2e]</v>
      </c>
    </row>
    <row r="162" spans="1:15" x14ac:dyDescent="0.3">
      <c r="A162" t="s">
        <v>1793</v>
      </c>
      <c r="B162" t="s">
        <v>1916</v>
      </c>
      <c r="C162" t="s">
        <v>1917</v>
      </c>
      <c r="D162">
        <v>10</v>
      </c>
      <c r="E162" t="s">
        <v>1447</v>
      </c>
      <c r="F162" t="s">
        <v>1920</v>
      </c>
      <c r="G162" t="s">
        <v>1913</v>
      </c>
      <c r="H162" t="s">
        <v>1799</v>
      </c>
      <c r="I162" t="s">
        <v>1799</v>
      </c>
      <c r="J162">
        <v>34441</v>
      </c>
      <c r="K162" t="s">
        <v>1799</v>
      </c>
      <c r="L162" t="s">
        <v>1799</v>
      </c>
      <c r="M162" t="s">
        <v>1799</v>
      </c>
      <c r="N162" t="s">
        <v>1799</v>
      </c>
      <c r="O162" s="184" t="str">
        <f>"["&amp;$C162&amp;"]["&amp;$D162&amp;"]["&amp;$F162&amp;"]"</f>
        <v>[S05_AggregateTotalEmissionsByCRF][10][TotalEmissionsTCo2e]</v>
      </c>
    </row>
    <row r="163" spans="1:15" x14ac:dyDescent="0.3">
      <c r="A163" t="s">
        <v>1793</v>
      </c>
      <c r="B163" t="s">
        <v>1916</v>
      </c>
      <c r="C163" t="s">
        <v>1917</v>
      </c>
      <c r="D163">
        <v>1</v>
      </c>
      <c r="E163" t="s">
        <v>1447</v>
      </c>
      <c r="F163" t="s">
        <v>1921</v>
      </c>
      <c r="G163" t="s">
        <v>1913</v>
      </c>
      <c r="H163" t="s">
        <v>1799</v>
      </c>
      <c r="I163" t="s">
        <v>1799</v>
      </c>
      <c r="J163">
        <v>4524796</v>
      </c>
      <c r="K163" t="s">
        <v>1799</v>
      </c>
      <c r="L163" t="s">
        <v>1799</v>
      </c>
      <c r="M163" t="s">
        <v>1799</v>
      </c>
      <c r="N163" t="s">
        <v>1799</v>
      </c>
      <c r="O163" s="184" t="str">
        <f>"["&amp;$C163&amp;"]["&amp;$D163&amp;"]["&amp;$F163&amp;"]"</f>
        <v>[S05_AggregateTotalEmissionsByCRF][1][TotalCombustionEmissionsTCo2e]</v>
      </c>
    </row>
    <row r="164" spans="1:15" x14ac:dyDescent="0.3">
      <c r="A164" t="s">
        <v>1793</v>
      </c>
      <c r="B164" t="s">
        <v>1916</v>
      </c>
      <c r="C164" t="s">
        <v>1917</v>
      </c>
      <c r="D164">
        <v>2</v>
      </c>
      <c r="E164" t="s">
        <v>1447</v>
      </c>
      <c r="F164" t="s">
        <v>1921</v>
      </c>
      <c r="G164" t="s">
        <v>1913</v>
      </c>
      <c r="H164" t="s">
        <v>1799</v>
      </c>
      <c r="I164" t="s">
        <v>1799</v>
      </c>
      <c r="J164">
        <v>572361</v>
      </c>
      <c r="K164" t="s">
        <v>1799</v>
      </c>
      <c r="L164" t="s">
        <v>1799</v>
      </c>
      <c r="M164" t="s">
        <v>1799</v>
      </c>
      <c r="N164" t="s">
        <v>1799</v>
      </c>
      <c r="O164" s="184" t="str">
        <f>"["&amp;$C164&amp;"]["&amp;$D164&amp;"]["&amp;$F164&amp;"]"</f>
        <v>[S05_AggregateTotalEmissionsByCRF][2][TotalCombustionEmissionsTCo2e]</v>
      </c>
    </row>
    <row r="165" spans="1:15" x14ac:dyDescent="0.3">
      <c r="A165" t="s">
        <v>1793</v>
      </c>
      <c r="B165" t="s">
        <v>1916</v>
      </c>
      <c r="C165" t="s">
        <v>1917</v>
      </c>
      <c r="D165">
        <v>3</v>
      </c>
      <c r="E165" t="s">
        <v>1447</v>
      </c>
      <c r="F165" t="s">
        <v>1921</v>
      </c>
      <c r="G165" t="s">
        <v>1913</v>
      </c>
      <c r="H165" t="s">
        <v>1799</v>
      </c>
      <c r="I165" t="s">
        <v>1799</v>
      </c>
      <c r="J165">
        <v>48775</v>
      </c>
      <c r="K165" t="s">
        <v>1799</v>
      </c>
      <c r="L165" t="s">
        <v>1799</v>
      </c>
      <c r="M165" t="s">
        <v>1799</v>
      </c>
      <c r="N165" t="s">
        <v>1799</v>
      </c>
      <c r="O165" s="184" t="str">
        <f>"["&amp;$C165&amp;"]["&amp;$D165&amp;"]["&amp;$F165&amp;"]"</f>
        <v>[S05_AggregateTotalEmissionsByCRF][3][TotalCombustionEmissionsTCo2e]</v>
      </c>
    </row>
    <row r="166" spans="1:15" x14ac:dyDescent="0.3">
      <c r="A166" t="s">
        <v>1793</v>
      </c>
      <c r="B166" t="s">
        <v>1916</v>
      </c>
      <c r="C166" t="s">
        <v>1917</v>
      </c>
      <c r="D166">
        <v>4</v>
      </c>
      <c r="E166" t="s">
        <v>1447</v>
      </c>
      <c r="F166" t="s">
        <v>1921</v>
      </c>
      <c r="G166" t="s">
        <v>1913</v>
      </c>
      <c r="H166" t="s">
        <v>1799</v>
      </c>
      <c r="I166" t="s">
        <v>1799</v>
      </c>
      <c r="J166">
        <v>40722</v>
      </c>
      <c r="K166" t="s">
        <v>1799</v>
      </c>
      <c r="L166" t="s">
        <v>1799</v>
      </c>
      <c r="M166" t="s">
        <v>1799</v>
      </c>
      <c r="N166" t="s">
        <v>1799</v>
      </c>
      <c r="O166" s="184" t="str">
        <f>"["&amp;$C166&amp;"]["&amp;$D166&amp;"]["&amp;$F166&amp;"]"</f>
        <v>[S05_AggregateTotalEmissionsByCRF][4][TotalCombustionEmissionsTCo2e]</v>
      </c>
    </row>
    <row r="167" spans="1:15" x14ac:dyDescent="0.3">
      <c r="A167" t="s">
        <v>1793</v>
      </c>
      <c r="B167" t="s">
        <v>1916</v>
      </c>
      <c r="C167" t="s">
        <v>1917</v>
      </c>
      <c r="D167">
        <v>5</v>
      </c>
      <c r="E167" t="s">
        <v>1447</v>
      </c>
      <c r="F167" t="s">
        <v>1921</v>
      </c>
      <c r="G167" t="s">
        <v>1913</v>
      </c>
      <c r="H167" t="s">
        <v>1799</v>
      </c>
      <c r="I167" t="s">
        <v>1799</v>
      </c>
      <c r="J167">
        <v>5251</v>
      </c>
      <c r="K167" t="s">
        <v>1799</v>
      </c>
      <c r="L167" t="s">
        <v>1799</v>
      </c>
      <c r="M167" t="s">
        <v>1799</v>
      </c>
      <c r="N167" t="s">
        <v>1799</v>
      </c>
      <c r="O167" s="184" t="str">
        <f>"["&amp;$C167&amp;"]["&amp;$D167&amp;"]["&amp;$F167&amp;"]"</f>
        <v>[S05_AggregateTotalEmissionsByCRF][5][TotalCombustionEmissionsTCo2e]</v>
      </c>
    </row>
    <row r="168" spans="1:15" x14ac:dyDescent="0.3">
      <c r="A168" t="s">
        <v>1793</v>
      </c>
      <c r="B168" t="s">
        <v>1916</v>
      </c>
      <c r="C168" t="s">
        <v>1917</v>
      </c>
      <c r="D168">
        <v>6</v>
      </c>
      <c r="E168" t="s">
        <v>1447</v>
      </c>
      <c r="F168" t="s">
        <v>1921</v>
      </c>
      <c r="G168" t="s">
        <v>1913</v>
      </c>
      <c r="H168" t="s">
        <v>1799</v>
      </c>
      <c r="I168" t="s">
        <v>1799</v>
      </c>
      <c r="J168">
        <v>14700</v>
      </c>
      <c r="K168" t="s">
        <v>1799</v>
      </c>
      <c r="L168" t="s">
        <v>1799</v>
      </c>
      <c r="M168" t="s">
        <v>1799</v>
      </c>
      <c r="N168" t="s">
        <v>1799</v>
      </c>
      <c r="O168" s="184" t="str">
        <f>"["&amp;$C168&amp;"]["&amp;$D168&amp;"]["&amp;$F168&amp;"]"</f>
        <v>[S05_AggregateTotalEmissionsByCRF][6][TotalCombustionEmissionsTCo2e]</v>
      </c>
    </row>
    <row r="169" spans="1:15" x14ac:dyDescent="0.3">
      <c r="A169" t="s">
        <v>1793</v>
      </c>
      <c r="B169" t="s">
        <v>1916</v>
      </c>
      <c r="C169" t="s">
        <v>1917</v>
      </c>
      <c r="D169">
        <v>7</v>
      </c>
      <c r="E169" t="s">
        <v>1447</v>
      </c>
      <c r="F169" t="s">
        <v>1921</v>
      </c>
      <c r="G169" t="s">
        <v>1913</v>
      </c>
      <c r="H169" t="s">
        <v>1799</v>
      </c>
      <c r="I169" t="s">
        <v>1799</v>
      </c>
      <c r="J169">
        <v>1314</v>
      </c>
      <c r="K169" t="s">
        <v>1799</v>
      </c>
      <c r="L169" t="s">
        <v>1799</v>
      </c>
      <c r="M169" t="s">
        <v>1799</v>
      </c>
      <c r="N169" t="s">
        <v>1799</v>
      </c>
      <c r="O169" s="184" t="str">
        <f>"["&amp;$C169&amp;"]["&amp;$D169&amp;"]["&amp;$F169&amp;"]"</f>
        <v>[S05_AggregateTotalEmissionsByCRF][7][TotalCombustionEmissionsTCo2e]</v>
      </c>
    </row>
    <row r="170" spans="1:15" x14ac:dyDescent="0.3">
      <c r="A170" t="s">
        <v>1793</v>
      </c>
      <c r="B170" t="s">
        <v>1916</v>
      </c>
      <c r="C170" t="s">
        <v>1917</v>
      </c>
      <c r="D170">
        <v>8</v>
      </c>
      <c r="E170" t="s">
        <v>1447</v>
      </c>
      <c r="F170" t="s">
        <v>1921</v>
      </c>
      <c r="G170" t="s">
        <v>1913</v>
      </c>
      <c r="H170" t="s">
        <v>1799</v>
      </c>
      <c r="I170" t="s">
        <v>1799</v>
      </c>
      <c r="J170">
        <v>8241</v>
      </c>
      <c r="K170" t="s">
        <v>1799</v>
      </c>
      <c r="L170" t="s">
        <v>1799</v>
      </c>
      <c r="M170" t="s">
        <v>1799</v>
      </c>
      <c r="N170" t="s">
        <v>1799</v>
      </c>
      <c r="O170" s="184" t="str">
        <f>"["&amp;$C170&amp;"]["&amp;$D170&amp;"]["&amp;$F170&amp;"]"</f>
        <v>[S05_AggregateTotalEmissionsByCRF][8][TotalCombustionEmissionsTCo2e]</v>
      </c>
    </row>
    <row r="171" spans="1:15" x14ac:dyDescent="0.3">
      <c r="A171" t="s">
        <v>1793</v>
      </c>
      <c r="B171" t="s">
        <v>1916</v>
      </c>
      <c r="C171" t="s">
        <v>1917</v>
      </c>
      <c r="D171">
        <v>9</v>
      </c>
      <c r="E171" t="s">
        <v>1447</v>
      </c>
      <c r="F171" t="s">
        <v>1921</v>
      </c>
      <c r="G171" t="s">
        <v>1913</v>
      </c>
      <c r="H171" t="s">
        <v>1799</v>
      </c>
      <c r="I171" t="s">
        <v>1799</v>
      </c>
      <c r="J171">
        <v>5190</v>
      </c>
      <c r="K171" t="s">
        <v>1799</v>
      </c>
      <c r="L171" t="s">
        <v>1799</v>
      </c>
      <c r="M171" t="s">
        <v>1799</v>
      </c>
      <c r="N171" t="s">
        <v>1799</v>
      </c>
      <c r="O171" s="184" t="str">
        <f>"["&amp;$C171&amp;"]["&amp;$D171&amp;"]["&amp;$F171&amp;"]"</f>
        <v>[S05_AggregateTotalEmissionsByCRF][9][TotalCombustionEmissionsTCo2e]</v>
      </c>
    </row>
    <row r="172" spans="1:15" x14ac:dyDescent="0.3">
      <c r="A172" t="s">
        <v>1793</v>
      </c>
      <c r="B172" t="s">
        <v>1916</v>
      </c>
      <c r="C172" t="s">
        <v>1917</v>
      </c>
      <c r="D172">
        <v>10</v>
      </c>
      <c r="E172" t="s">
        <v>1447</v>
      </c>
      <c r="F172" t="s">
        <v>1921</v>
      </c>
      <c r="G172" t="s">
        <v>1913</v>
      </c>
      <c r="H172" t="s">
        <v>1799</v>
      </c>
      <c r="I172" t="s">
        <v>1799</v>
      </c>
      <c r="J172">
        <v>23396</v>
      </c>
      <c r="K172" t="s">
        <v>1799</v>
      </c>
      <c r="L172" t="s">
        <v>1799</v>
      </c>
      <c r="M172" t="s">
        <v>1799</v>
      </c>
      <c r="N172" t="s">
        <v>1799</v>
      </c>
      <c r="O172" s="184" t="str">
        <f>"["&amp;$C172&amp;"]["&amp;$D172&amp;"]["&amp;$F172&amp;"]"</f>
        <v>[S05_AggregateTotalEmissionsByCRF][10][TotalCombustionEmissionsTCo2e]</v>
      </c>
    </row>
    <row r="173" spans="1:15" x14ac:dyDescent="0.3">
      <c r="A173" t="s">
        <v>1793</v>
      </c>
      <c r="B173" t="s">
        <v>1916</v>
      </c>
      <c r="C173" t="s">
        <v>1917</v>
      </c>
      <c r="D173">
        <v>2</v>
      </c>
      <c r="E173" t="s">
        <v>1447</v>
      </c>
      <c r="F173" t="s">
        <v>1922</v>
      </c>
      <c r="G173" t="s">
        <v>1913</v>
      </c>
      <c r="H173" t="s">
        <v>1799</v>
      </c>
      <c r="I173" t="s">
        <v>1799</v>
      </c>
      <c r="J173">
        <v>21496</v>
      </c>
      <c r="K173" t="s">
        <v>1799</v>
      </c>
      <c r="L173" t="s">
        <v>1799</v>
      </c>
      <c r="M173" t="s">
        <v>1799</v>
      </c>
      <c r="N173" t="s">
        <v>1799</v>
      </c>
      <c r="O173" s="184" t="str">
        <f>"["&amp;$C173&amp;"]["&amp;$D173&amp;"]["&amp;$F173&amp;"]"</f>
        <v>[S05_AggregateTotalEmissionsByCRF][2][TotalProcessEmissionsTCo2e]</v>
      </c>
    </row>
    <row r="174" spans="1:15" x14ac:dyDescent="0.3">
      <c r="A174" t="s">
        <v>1793</v>
      </c>
      <c r="B174" t="s">
        <v>1916</v>
      </c>
      <c r="C174" t="s">
        <v>1917</v>
      </c>
      <c r="D174">
        <v>8</v>
      </c>
      <c r="E174" t="s">
        <v>1447</v>
      </c>
      <c r="F174" t="s">
        <v>1922</v>
      </c>
      <c r="G174" t="s">
        <v>1913</v>
      </c>
      <c r="H174" t="s">
        <v>1799</v>
      </c>
      <c r="I174" t="s">
        <v>1799</v>
      </c>
      <c r="J174">
        <v>25249</v>
      </c>
      <c r="K174" t="s">
        <v>1799</v>
      </c>
      <c r="L174" t="s">
        <v>1799</v>
      </c>
      <c r="M174" t="s">
        <v>1799</v>
      </c>
      <c r="N174" t="s">
        <v>1799</v>
      </c>
      <c r="O174" s="184" t="str">
        <f>"["&amp;$C174&amp;"]["&amp;$D174&amp;"]["&amp;$F174&amp;"]"</f>
        <v>[S05_AggregateTotalEmissionsByCRF][8][TotalProcessEmissionsTCo2e]</v>
      </c>
    </row>
    <row r="175" spans="1:15" x14ac:dyDescent="0.3">
      <c r="A175" t="s">
        <v>1793</v>
      </c>
      <c r="B175" t="s">
        <v>1916</v>
      </c>
      <c r="C175" t="s">
        <v>1917</v>
      </c>
      <c r="D175">
        <v>9</v>
      </c>
      <c r="E175" t="s">
        <v>1447</v>
      </c>
      <c r="F175" t="s">
        <v>1922</v>
      </c>
      <c r="G175" t="s">
        <v>1913</v>
      </c>
      <c r="H175" t="s">
        <v>1799</v>
      </c>
      <c r="I175" t="s">
        <v>1799</v>
      </c>
      <c r="J175">
        <v>1030</v>
      </c>
      <c r="K175" t="s">
        <v>1799</v>
      </c>
      <c r="L175" t="s">
        <v>1799</v>
      </c>
      <c r="M175" t="s">
        <v>1799</v>
      </c>
      <c r="N175" t="s">
        <v>1799</v>
      </c>
      <c r="O175" s="184" t="str">
        <f>"["&amp;$C175&amp;"]["&amp;$D175&amp;"]["&amp;$F175&amp;"]"</f>
        <v>[S05_AggregateTotalEmissionsByCRF][9][TotalProcessEmissionsTCo2e]</v>
      </c>
    </row>
    <row r="176" spans="1:15" x14ac:dyDescent="0.3">
      <c r="A176" t="s">
        <v>1793</v>
      </c>
      <c r="B176" t="s">
        <v>1916</v>
      </c>
      <c r="C176" t="s">
        <v>1917</v>
      </c>
      <c r="D176">
        <v>10</v>
      </c>
      <c r="E176" t="s">
        <v>1447</v>
      </c>
      <c r="F176" t="s">
        <v>1922</v>
      </c>
      <c r="G176" t="s">
        <v>1913</v>
      </c>
      <c r="H176" t="s">
        <v>1799</v>
      </c>
      <c r="I176" t="s">
        <v>1799</v>
      </c>
      <c r="J176">
        <v>11045</v>
      </c>
      <c r="K176" t="s">
        <v>1799</v>
      </c>
      <c r="L176" t="s">
        <v>1799</v>
      </c>
      <c r="M176" t="s">
        <v>1799</v>
      </c>
      <c r="N176" t="s">
        <v>1799</v>
      </c>
      <c r="O176" s="184" t="str">
        <f>"["&amp;$C176&amp;"]["&amp;$D176&amp;"]["&amp;$F176&amp;"]"</f>
        <v>[S05_AggregateTotalEmissionsByCRF][10][TotalProcessEmissionsTCo2e]</v>
      </c>
    </row>
    <row r="177" spans="1:15" x14ac:dyDescent="0.3">
      <c r="A177" t="s">
        <v>1793</v>
      </c>
      <c r="B177" t="s">
        <v>1914</v>
      </c>
      <c r="C177" t="s">
        <v>1923</v>
      </c>
      <c r="D177">
        <v>1</v>
      </c>
      <c r="E177" t="s">
        <v>1447</v>
      </c>
      <c r="F177" t="s">
        <v>1924</v>
      </c>
      <c r="G177" t="s">
        <v>1737</v>
      </c>
      <c r="H177" t="s">
        <v>1799</v>
      </c>
      <c r="I177" t="s">
        <v>1799</v>
      </c>
      <c r="J177" t="s">
        <v>1799</v>
      </c>
      <c r="K177" t="s">
        <v>1799</v>
      </c>
      <c r="L177" t="s">
        <v>1483</v>
      </c>
      <c r="M177" t="s">
        <v>1799</v>
      </c>
      <c r="N177" t="s">
        <v>1799</v>
      </c>
      <c r="O177" s="184" t="str">
        <f>"["&amp;$C177&amp;"]["&amp;$D177&amp;"]["&amp;$F177&amp;"]"</f>
        <v>[S05_DefaultValues][1][InstallationCategory]</v>
      </c>
    </row>
    <row r="178" spans="1:15" x14ac:dyDescent="0.3">
      <c r="A178" t="s">
        <v>1793</v>
      </c>
      <c r="B178" t="s">
        <v>1914</v>
      </c>
      <c r="C178" t="s">
        <v>1923</v>
      </c>
      <c r="D178">
        <v>2</v>
      </c>
      <c r="E178" t="s">
        <v>1447</v>
      </c>
      <c r="F178" t="s">
        <v>1924</v>
      </c>
      <c r="G178" t="s">
        <v>1737</v>
      </c>
      <c r="H178" t="s">
        <v>1799</v>
      </c>
      <c r="I178" t="s">
        <v>1799</v>
      </c>
      <c r="J178" t="s">
        <v>1799</v>
      </c>
      <c r="K178" t="s">
        <v>1799</v>
      </c>
      <c r="L178" t="s">
        <v>1483</v>
      </c>
      <c r="M178" t="s">
        <v>1799</v>
      </c>
      <c r="N178" t="s">
        <v>1799</v>
      </c>
      <c r="O178" s="184" t="str">
        <f>"["&amp;$C178&amp;"]["&amp;$D178&amp;"]["&amp;$F178&amp;"]"</f>
        <v>[S05_DefaultValues][2][InstallationCategory]</v>
      </c>
    </row>
    <row r="179" spans="1:15" x14ac:dyDescent="0.3">
      <c r="A179" t="s">
        <v>1793</v>
      </c>
      <c r="B179" t="s">
        <v>1914</v>
      </c>
      <c r="C179" t="s">
        <v>1923</v>
      </c>
      <c r="D179">
        <v>3</v>
      </c>
      <c r="E179" t="s">
        <v>1447</v>
      </c>
      <c r="F179" t="s">
        <v>1924</v>
      </c>
      <c r="G179" t="s">
        <v>1737</v>
      </c>
      <c r="H179" t="s">
        <v>1799</v>
      </c>
      <c r="I179" t="s">
        <v>1799</v>
      </c>
      <c r="J179" t="s">
        <v>1799</v>
      </c>
      <c r="K179" t="s">
        <v>1799</v>
      </c>
      <c r="L179" t="s">
        <v>1483</v>
      </c>
      <c r="M179" t="s">
        <v>1799</v>
      </c>
      <c r="N179" t="s">
        <v>1799</v>
      </c>
      <c r="O179" s="184" t="str">
        <f>"["&amp;$C179&amp;"]["&amp;$D179&amp;"]["&amp;$F179&amp;"]"</f>
        <v>[S05_DefaultValues][3][InstallationCategory]</v>
      </c>
    </row>
    <row r="180" spans="1:15" x14ac:dyDescent="0.3">
      <c r="A180" t="s">
        <v>1793</v>
      </c>
      <c r="B180" t="s">
        <v>1914</v>
      </c>
      <c r="C180" t="s">
        <v>1923</v>
      </c>
      <c r="D180">
        <v>4</v>
      </c>
      <c r="E180" t="s">
        <v>1447</v>
      </c>
      <c r="F180" t="s">
        <v>1924</v>
      </c>
      <c r="G180" t="s">
        <v>1737</v>
      </c>
      <c r="H180" t="s">
        <v>1799</v>
      </c>
      <c r="I180" t="s">
        <v>1799</v>
      </c>
      <c r="J180" t="s">
        <v>1799</v>
      </c>
      <c r="K180" t="s">
        <v>1799</v>
      </c>
      <c r="L180" t="s">
        <v>1483</v>
      </c>
      <c r="M180" t="s">
        <v>1799</v>
      </c>
      <c r="N180" t="s">
        <v>1799</v>
      </c>
      <c r="O180" s="184" t="str">
        <f>"["&amp;$C180&amp;"]["&amp;$D180&amp;"]["&amp;$F180&amp;"]"</f>
        <v>[S05_DefaultValues][4][InstallationCategory]</v>
      </c>
    </row>
    <row r="181" spans="1:15" x14ac:dyDescent="0.3">
      <c r="A181" t="s">
        <v>1793</v>
      </c>
      <c r="B181" t="s">
        <v>1914</v>
      </c>
      <c r="C181" t="s">
        <v>1923</v>
      </c>
      <c r="D181">
        <v>5</v>
      </c>
      <c r="E181" t="s">
        <v>1447</v>
      </c>
      <c r="F181" t="s">
        <v>1924</v>
      </c>
      <c r="G181" t="s">
        <v>1737</v>
      </c>
      <c r="H181" t="s">
        <v>1799</v>
      </c>
      <c r="I181" t="s">
        <v>1799</v>
      </c>
      <c r="J181" t="s">
        <v>1799</v>
      </c>
      <c r="K181" t="s">
        <v>1799</v>
      </c>
      <c r="L181" t="s">
        <v>1455</v>
      </c>
      <c r="M181" t="s">
        <v>1799</v>
      </c>
      <c r="N181" t="s">
        <v>1799</v>
      </c>
      <c r="O181" s="184" t="str">
        <f>"["&amp;$C181&amp;"]["&amp;$D181&amp;"]["&amp;$F181&amp;"]"</f>
        <v>[S05_DefaultValues][5][InstallationCategory]</v>
      </c>
    </row>
    <row r="182" spans="1:15" x14ac:dyDescent="0.3">
      <c r="A182" t="s">
        <v>1793</v>
      </c>
      <c r="B182" t="s">
        <v>1914</v>
      </c>
      <c r="C182" t="s">
        <v>1923</v>
      </c>
      <c r="D182">
        <v>6</v>
      </c>
      <c r="E182" t="s">
        <v>1447</v>
      </c>
      <c r="F182" t="s">
        <v>1924</v>
      </c>
      <c r="G182" t="s">
        <v>1737</v>
      </c>
      <c r="H182" t="s">
        <v>1799</v>
      </c>
      <c r="I182" t="s">
        <v>1799</v>
      </c>
      <c r="J182" t="s">
        <v>1799</v>
      </c>
      <c r="K182" t="s">
        <v>1799</v>
      </c>
      <c r="L182" t="s">
        <v>1455</v>
      </c>
      <c r="M182" t="s">
        <v>1799</v>
      </c>
      <c r="N182" t="s">
        <v>1799</v>
      </c>
      <c r="O182" s="184" t="str">
        <f>"["&amp;$C182&amp;"]["&amp;$D182&amp;"]["&amp;$F182&amp;"]"</f>
        <v>[S05_DefaultValues][6][InstallationCategory]</v>
      </c>
    </row>
    <row r="183" spans="1:15" x14ac:dyDescent="0.3">
      <c r="A183" t="s">
        <v>1793</v>
      </c>
      <c r="B183" t="s">
        <v>1914</v>
      </c>
      <c r="C183" t="s">
        <v>1923</v>
      </c>
      <c r="D183">
        <v>7</v>
      </c>
      <c r="E183" t="s">
        <v>1447</v>
      </c>
      <c r="F183" t="s">
        <v>1924</v>
      </c>
      <c r="G183" t="s">
        <v>1737</v>
      </c>
      <c r="H183" t="s">
        <v>1799</v>
      </c>
      <c r="I183" t="s">
        <v>1799</v>
      </c>
      <c r="J183" t="s">
        <v>1799</v>
      </c>
      <c r="K183" t="s">
        <v>1799</v>
      </c>
      <c r="L183" t="s">
        <v>1455</v>
      </c>
      <c r="M183" t="s">
        <v>1799</v>
      </c>
      <c r="N183" t="s">
        <v>1799</v>
      </c>
      <c r="O183" s="184" t="str">
        <f>"["&amp;$C183&amp;"]["&amp;$D183&amp;"]["&amp;$F183&amp;"]"</f>
        <v>[S05_DefaultValues][7][InstallationCategory]</v>
      </c>
    </row>
    <row r="184" spans="1:15" x14ac:dyDescent="0.3">
      <c r="A184" t="s">
        <v>1793</v>
      </c>
      <c r="B184" t="s">
        <v>1914</v>
      </c>
      <c r="C184" t="s">
        <v>1923</v>
      </c>
      <c r="D184">
        <v>8</v>
      </c>
      <c r="E184" t="s">
        <v>1447</v>
      </c>
      <c r="F184" t="s">
        <v>1924</v>
      </c>
      <c r="G184" t="s">
        <v>1737</v>
      </c>
      <c r="H184" t="s">
        <v>1799</v>
      </c>
      <c r="I184" t="s">
        <v>1799</v>
      </c>
      <c r="J184" t="s">
        <v>1799</v>
      </c>
      <c r="K184" t="s">
        <v>1799</v>
      </c>
      <c r="L184" t="s">
        <v>1455</v>
      </c>
      <c r="M184" t="s">
        <v>1799</v>
      </c>
      <c r="N184" t="s">
        <v>1799</v>
      </c>
      <c r="O184" s="184" t="str">
        <f>"["&amp;$C184&amp;"]["&amp;$D184&amp;"]["&amp;$F184&amp;"]"</f>
        <v>[S05_DefaultValues][8][InstallationCategory]</v>
      </c>
    </row>
    <row r="185" spans="1:15" x14ac:dyDescent="0.3">
      <c r="A185" t="s">
        <v>1793</v>
      </c>
      <c r="B185" t="s">
        <v>1914</v>
      </c>
      <c r="C185" t="s">
        <v>1923</v>
      </c>
      <c r="D185">
        <v>9</v>
      </c>
      <c r="E185" t="s">
        <v>1447</v>
      </c>
      <c r="F185" t="s">
        <v>1924</v>
      </c>
      <c r="G185" t="s">
        <v>1737</v>
      </c>
      <c r="H185" t="s">
        <v>1799</v>
      </c>
      <c r="I185" t="s">
        <v>1799</v>
      </c>
      <c r="J185" t="s">
        <v>1799</v>
      </c>
      <c r="K185" t="s">
        <v>1799</v>
      </c>
      <c r="L185" t="s">
        <v>1505</v>
      </c>
      <c r="M185" t="s">
        <v>1799</v>
      </c>
      <c r="N185" t="s">
        <v>1799</v>
      </c>
      <c r="O185" s="184" t="str">
        <f>"["&amp;$C185&amp;"]["&amp;$D185&amp;"]["&amp;$F185&amp;"]"</f>
        <v>[S05_DefaultValues][9][InstallationCategory]</v>
      </c>
    </row>
    <row r="186" spans="1:15" x14ac:dyDescent="0.3">
      <c r="A186" t="s">
        <v>1793</v>
      </c>
      <c r="B186" t="s">
        <v>1914</v>
      </c>
      <c r="C186" t="s">
        <v>1923</v>
      </c>
      <c r="D186">
        <v>10</v>
      </c>
      <c r="E186" t="s">
        <v>1447</v>
      </c>
      <c r="F186" t="s">
        <v>1924</v>
      </c>
      <c r="G186" t="s">
        <v>1737</v>
      </c>
      <c r="H186" t="s">
        <v>1799</v>
      </c>
      <c r="I186" t="s">
        <v>1799</v>
      </c>
      <c r="J186" t="s">
        <v>1799</v>
      </c>
      <c r="K186" t="s">
        <v>1799</v>
      </c>
      <c r="L186" t="s">
        <v>1505</v>
      </c>
      <c r="M186" t="s">
        <v>1799</v>
      </c>
      <c r="N186" t="s">
        <v>1799</v>
      </c>
      <c r="O186" s="184" t="str">
        <f>"["&amp;$C186&amp;"]["&amp;$D186&amp;"]["&amp;$F186&amp;"]"</f>
        <v>[S05_DefaultValues][10][InstallationCategory]</v>
      </c>
    </row>
    <row r="187" spans="1:15" x14ac:dyDescent="0.3">
      <c r="A187" t="s">
        <v>1793</v>
      </c>
      <c r="B187" t="s">
        <v>1914</v>
      </c>
      <c r="C187" t="s">
        <v>1923</v>
      </c>
      <c r="D187">
        <v>11</v>
      </c>
      <c r="E187" t="s">
        <v>1447</v>
      </c>
      <c r="F187" t="s">
        <v>1924</v>
      </c>
      <c r="G187" t="s">
        <v>1737</v>
      </c>
      <c r="H187" t="s">
        <v>1799</v>
      </c>
      <c r="I187" t="s">
        <v>1799</v>
      </c>
      <c r="J187" t="s">
        <v>1799</v>
      </c>
      <c r="K187" t="s">
        <v>1799</v>
      </c>
      <c r="L187" t="s">
        <v>1505</v>
      </c>
      <c r="M187" t="s">
        <v>1799</v>
      </c>
      <c r="N187" t="s">
        <v>1799</v>
      </c>
      <c r="O187" s="184" t="str">
        <f>"["&amp;$C187&amp;"]["&amp;$D187&amp;"]["&amp;$F187&amp;"]"</f>
        <v>[S05_DefaultValues][11][InstallationCategory]</v>
      </c>
    </row>
    <row r="188" spans="1:15" x14ac:dyDescent="0.3">
      <c r="A188" t="s">
        <v>1793</v>
      </c>
      <c r="B188" t="s">
        <v>1914</v>
      </c>
      <c r="C188" t="s">
        <v>1923</v>
      </c>
      <c r="D188">
        <v>12</v>
      </c>
      <c r="E188" t="s">
        <v>1447</v>
      </c>
      <c r="F188" t="s">
        <v>1924</v>
      </c>
      <c r="G188" t="s">
        <v>1737</v>
      </c>
      <c r="H188" t="s">
        <v>1799</v>
      </c>
      <c r="I188" t="s">
        <v>1799</v>
      </c>
      <c r="J188" t="s">
        <v>1799</v>
      </c>
      <c r="K188" t="s">
        <v>1799</v>
      </c>
      <c r="L188" t="s">
        <v>1505</v>
      </c>
      <c r="M188" t="s">
        <v>1799</v>
      </c>
      <c r="N188" t="s">
        <v>1799</v>
      </c>
      <c r="O188" s="184" t="str">
        <f>"["&amp;$C188&amp;"]["&amp;$D188&amp;"]["&amp;$F188&amp;"]"</f>
        <v>[S05_DefaultValues][12][InstallationCategory]</v>
      </c>
    </row>
    <row r="189" spans="1:15" x14ac:dyDescent="0.3">
      <c r="A189" t="s">
        <v>1793</v>
      </c>
      <c r="B189" t="s">
        <v>1914</v>
      </c>
      <c r="C189" t="s">
        <v>1923</v>
      </c>
      <c r="D189">
        <v>13</v>
      </c>
      <c r="E189" t="s">
        <v>1447</v>
      </c>
      <c r="F189" t="s">
        <v>1924</v>
      </c>
      <c r="G189" t="s">
        <v>1737</v>
      </c>
      <c r="H189" t="s">
        <v>1799</v>
      </c>
      <c r="I189" t="s">
        <v>1799</v>
      </c>
      <c r="J189" t="s">
        <v>1799</v>
      </c>
      <c r="K189" t="s">
        <v>1799</v>
      </c>
      <c r="L189" t="s">
        <v>1505</v>
      </c>
      <c r="M189" t="s">
        <v>1799</v>
      </c>
      <c r="N189" t="s">
        <v>1799</v>
      </c>
      <c r="O189" s="184" t="str">
        <f>"["&amp;$C189&amp;"]["&amp;$D189&amp;"]["&amp;$F189&amp;"]"</f>
        <v>[S05_DefaultValues][13][InstallationCategory]</v>
      </c>
    </row>
    <row r="190" spans="1:15" x14ac:dyDescent="0.3">
      <c r="A190" t="s">
        <v>1793</v>
      </c>
      <c r="B190" t="s">
        <v>1914</v>
      </c>
      <c r="C190" t="s">
        <v>1923</v>
      </c>
      <c r="D190">
        <v>14</v>
      </c>
      <c r="E190" t="s">
        <v>1447</v>
      </c>
      <c r="F190" t="s">
        <v>1924</v>
      </c>
      <c r="G190" t="s">
        <v>1737</v>
      </c>
      <c r="H190" t="s">
        <v>1799</v>
      </c>
      <c r="I190" t="s">
        <v>1799</v>
      </c>
      <c r="J190" t="s">
        <v>1799</v>
      </c>
      <c r="K190" t="s">
        <v>1799</v>
      </c>
      <c r="L190" t="s">
        <v>1505</v>
      </c>
      <c r="M190" t="s">
        <v>1799</v>
      </c>
      <c r="N190" t="s">
        <v>1799</v>
      </c>
      <c r="O190" s="184" t="str">
        <f>"["&amp;$C190&amp;"]["&amp;$D190&amp;"]["&amp;$F190&amp;"]"</f>
        <v>[S05_DefaultValues][14][InstallationCategory]</v>
      </c>
    </row>
    <row r="191" spans="1:15" x14ac:dyDescent="0.3">
      <c r="A191" t="s">
        <v>1793</v>
      </c>
      <c r="B191" t="s">
        <v>1914</v>
      </c>
      <c r="C191" t="s">
        <v>1923</v>
      </c>
      <c r="D191">
        <v>15</v>
      </c>
      <c r="E191" t="s">
        <v>1447</v>
      </c>
      <c r="F191" t="s">
        <v>1924</v>
      </c>
      <c r="G191" t="s">
        <v>1737</v>
      </c>
      <c r="H191" t="s">
        <v>1799</v>
      </c>
      <c r="I191" t="s">
        <v>1799</v>
      </c>
      <c r="J191" t="s">
        <v>1799</v>
      </c>
      <c r="K191" t="s">
        <v>1799</v>
      </c>
      <c r="L191" t="s">
        <v>1505</v>
      </c>
      <c r="M191" t="s">
        <v>1799</v>
      </c>
      <c r="N191" t="s">
        <v>1799</v>
      </c>
      <c r="O191" s="184" t="str">
        <f>"["&amp;$C191&amp;"]["&amp;$D191&amp;"]["&amp;$F191&amp;"]"</f>
        <v>[S05_DefaultValues][15][InstallationCategory]</v>
      </c>
    </row>
    <row r="192" spans="1:15" x14ac:dyDescent="0.3">
      <c r="A192" t="s">
        <v>1793</v>
      </c>
      <c r="B192" t="s">
        <v>1914</v>
      </c>
      <c r="C192" t="s">
        <v>1923</v>
      </c>
      <c r="D192">
        <v>16</v>
      </c>
      <c r="E192" t="s">
        <v>1447</v>
      </c>
      <c r="F192" t="s">
        <v>1924</v>
      </c>
      <c r="G192" t="s">
        <v>1737</v>
      </c>
      <c r="H192" t="s">
        <v>1799</v>
      </c>
      <c r="I192" t="s">
        <v>1799</v>
      </c>
      <c r="J192" t="s">
        <v>1799</v>
      </c>
      <c r="K192" t="s">
        <v>1799</v>
      </c>
      <c r="L192" t="s">
        <v>1505</v>
      </c>
      <c r="M192" t="s">
        <v>1799</v>
      </c>
      <c r="N192" t="s">
        <v>1799</v>
      </c>
      <c r="O192" s="184" t="str">
        <f>"["&amp;$C192&amp;"]["&amp;$D192&amp;"]["&amp;$F192&amp;"]"</f>
        <v>[S05_DefaultValues][16][InstallationCategory]</v>
      </c>
    </row>
    <row r="193" spans="1:15" x14ac:dyDescent="0.3">
      <c r="A193" t="s">
        <v>1793</v>
      </c>
      <c r="B193" t="s">
        <v>1914</v>
      </c>
      <c r="C193" t="s">
        <v>1923</v>
      </c>
      <c r="D193">
        <v>17</v>
      </c>
      <c r="E193" t="s">
        <v>1447</v>
      </c>
      <c r="F193" t="s">
        <v>1924</v>
      </c>
      <c r="G193" t="s">
        <v>1737</v>
      </c>
      <c r="H193" t="s">
        <v>1799</v>
      </c>
      <c r="I193" t="s">
        <v>1799</v>
      </c>
      <c r="J193" t="s">
        <v>1799</v>
      </c>
      <c r="K193" t="s">
        <v>1799</v>
      </c>
      <c r="L193" t="s">
        <v>1505</v>
      </c>
      <c r="M193" t="s">
        <v>1799</v>
      </c>
      <c r="N193" t="s">
        <v>1799</v>
      </c>
      <c r="O193" s="184" t="str">
        <f>"["&amp;$C193&amp;"]["&amp;$D193&amp;"]["&amp;$F193&amp;"]"</f>
        <v>[S05_DefaultValues][17][InstallationCategory]</v>
      </c>
    </row>
    <row r="194" spans="1:15" x14ac:dyDescent="0.3">
      <c r="A194" t="s">
        <v>1793</v>
      </c>
      <c r="B194" t="s">
        <v>1914</v>
      </c>
      <c r="C194" t="s">
        <v>1923</v>
      </c>
      <c r="D194">
        <v>18</v>
      </c>
      <c r="E194" t="s">
        <v>1447</v>
      </c>
      <c r="F194" t="s">
        <v>1924</v>
      </c>
      <c r="G194" t="s">
        <v>1737</v>
      </c>
      <c r="H194" t="s">
        <v>1799</v>
      </c>
      <c r="I194" t="s">
        <v>1799</v>
      </c>
      <c r="J194" t="s">
        <v>1799</v>
      </c>
      <c r="K194" t="s">
        <v>1799</v>
      </c>
      <c r="L194" t="s">
        <v>1505</v>
      </c>
      <c r="M194" t="s">
        <v>1799</v>
      </c>
      <c r="N194" t="s">
        <v>1799</v>
      </c>
      <c r="O194" s="184" t="str">
        <f>"["&amp;$C194&amp;"]["&amp;$D194&amp;"]["&amp;$F194&amp;"]"</f>
        <v>[S05_DefaultValues][18][InstallationCategory]</v>
      </c>
    </row>
    <row r="195" spans="1:15" x14ac:dyDescent="0.3">
      <c r="A195" t="s">
        <v>1793</v>
      </c>
      <c r="B195" t="s">
        <v>1914</v>
      </c>
      <c r="C195" t="s">
        <v>1923</v>
      </c>
      <c r="D195">
        <v>19</v>
      </c>
      <c r="E195" t="s">
        <v>1447</v>
      </c>
      <c r="F195" t="s">
        <v>1924</v>
      </c>
      <c r="G195" t="s">
        <v>1737</v>
      </c>
      <c r="H195" t="s">
        <v>1799</v>
      </c>
      <c r="I195" t="s">
        <v>1799</v>
      </c>
      <c r="J195" t="s">
        <v>1799</v>
      </c>
      <c r="K195" t="s">
        <v>1799</v>
      </c>
      <c r="L195" t="s">
        <v>1505</v>
      </c>
      <c r="M195" t="s">
        <v>1799</v>
      </c>
      <c r="N195" t="s">
        <v>1799</v>
      </c>
      <c r="O195" s="184" t="str">
        <f>"["&amp;$C195&amp;"]["&amp;$D195&amp;"]["&amp;$F195&amp;"]"</f>
        <v>[S05_DefaultValues][19][InstallationCategory]</v>
      </c>
    </row>
    <row r="196" spans="1:15" x14ac:dyDescent="0.3">
      <c r="A196" t="s">
        <v>1793</v>
      </c>
      <c r="B196" t="s">
        <v>1914</v>
      </c>
      <c r="C196" t="s">
        <v>1923</v>
      </c>
      <c r="D196">
        <v>20</v>
      </c>
      <c r="E196" t="s">
        <v>1447</v>
      </c>
      <c r="F196" t="s">
        <v>1924</v>
      </c>
      <c r="G196" t="s">
        <v>1737</v>
      </c>
      <c r="H196" t="s">
        <v>1799</v>
      </c>
      <c r="I196" t="s">
        <v>1799</v>
      </c>
      <c r="J196" t="s">
        <v>1799</v>
      </c>
      <c r="K196" t="s">
        <v>1799</v>
      </c>
      <c r="L196" t="s">
        <v>1505</v>
      </c>
      <c r="M196" t="s">
        <v>1799</v>
      </c>
      <c r="N196" t="s">
        <v>1799</v>
      </c>
      <c r="O196" s="184" t="str">
        <f>"["&amp;$C196&amp;"]["&amp;$D196&amp;"]["&amp;$F196&amp;"]"</f>
        <v>[S05_DefaultValues][20][InstallationCategory]</v>
      </c>
    </row>
    <row r="197" spans="1:15" x14ac:dyDescent="0.3">
      <c r="A197" t="s">
        <v>1793</v>
      </c>
      <c r="B197" t="s">
        <v>1914</v>
      </c>
      <c r="C197" t="s">
        <v>1923</v>
      </c>
      <c r="D197">
        <v>21</v>
      </c>
      <c r="E197" t="s">
        <v>1447</v>
      </c>
      <c r="F197" t="s">
        <v>1924</v>
      </c>
      <c r="G197" t="s">
        <v>1737</v>
      </c>
      <c r="H197" t="s">
        <v>1799</v>
      </c>
      <c r="I197" t="s">
        <v>1799</v>
      </c>
      <c r="J197" t="s">
        <v>1799</v>
      </c>
      <c r="K197" t="s">
        <v>1799</v>
      </c>
      <c r="L197" t="s">
        <v>1505</v>
      </c>
      <c r="M197" t="s">
        <v>1799</v>
      </c>
      <c r="N197" t="s">
        <v>1799</v>
      </c>
      <c r="O197" s="184" t="str">
        <f>"["&amp;$C197&amp;"]["&amp;$D197&amp;"]["&amp;$F197&amp;"]"</f>
        <v>[S05_DefaultValues][21][InstallationCategory]</v>
      </c>
    </row>
    <row r="198" spans="1:15" x14ac:dyDescent="0.3">
      <c r="A198" t="s">
        <v>1793</v>
      </c>
      <c r="B198" t="s">
        <v>1914</v>
      </c>
      <c r="C198" t="s">
        <v>1923</v>
      </c>
      <c r="D198">
        <v>22</v>
      </c>
      <c r="E198" t="s">
        <v>1447</v>
      </c>
      <c r="F198" t="s">
        <v>1924</v>
      </c>
      <c r="G198" t="s">
        <v>1737</v>
      </c>
      <c r="H198" t="s">
        <v>1799</v>
      </c>
      <c r="I198" t="s">
        <v>1799</v>
      </c>
      <c r="J198" t="s">
        <v>1799</v>
      </c>
      <c r="K198" t="s">
        <v>1799</v>
      </c>
      <c r="L198" t="s">
        <v>1427</v>
      </c>
      <c r="M198" t="s">
        <v>1799</v>
      </c>
      <c r="N198" t="s">
        <v>1799</v>
      </c>
      <c r="O198" s="184" t="str">
        <f>"["&amp;$C198&amp;"]["&amp;$D198&amp;"]["&amp;$F198&amp;"]"</f>
        <v>[S05_DefaultValues][22][InstallationCategory]</v>
      </c>
    </row>
    <row r="199" spans="1:15" x14ac:dyDescent="0.3">
      <c r="A199" t="s">
        <v>1793</v>
      </c>
      <c r="B199" t="s">
        <v>1914</v>
      </c>
      <c r="C199" t="s">
        <v>1923</v>
      </c>
      <c r="D199">
        <v>23</v>
      </c>
      <c r="E199" t="s">
        <v>1447</v>
      </c>
      <c r="F199" t="s">
        <v>1924</v>
      </c>
      <c r="G199" t="s">
        <v>1737</v>
      </c>
      <c r="H199" t="s">
        <v>1799</v>
      </c>
      <c r="I199" t="s">
        <v>1799</v>
      </c>
      <c r="J199" t="s">
        <v>1799</v>
      </c>
      <c r="K199" t="s">
        <v>1799</v>
      </c>
      <c r="L199" t="s">
        <v>1427</v>
      </c>
      <c r="M199" t="s">
        <v>1799</v>
      </c>
      <c r="N199" t="s">
        <v>1799</v>
      </c>
      <c r="O199" s="184" t="str">
        <f>"["&amp;$C199&amp;"]["&amp;$D199&amp;"]["&amp;$F199&amp;"]"</f>
        <v>[S05_DefaultValues][23][InstallationCategory]</v>
      </c>
    </row>
    <row r="200" spans="1:15" x14ac:dyDescent="0.3">
      <c r="A200" t="s">
        <v>1793</v>
      </c>
      <c r="B200" t="s">
        <v>1914</v>
      </c>
      <c r="C200" t="s">
        <v>1923</v>
      </c>
      <c r="D200">
        <v>24</v>
      </c>
      <c r="E200" t="s">
        <v>1447</v>
      </c>
      <c r="F200" t="s">
        <v>1924</v>
      </c>
      <c r="G200" t="s">
        <v>1737</v>
      </c>
      <c r="H200" t="s">
        <v>1799</v>
      </c>
      <c r="I200" t="s">
        <v>1799</v>
      </c>
      <c r="J200" t="s">
        <v>1799</v>
      </c>
      <c r="K200" t="s">
        <v>1799</v>
      </c>
      <c r="L200" t="s">
        <v>1427</v>
      </c>
      <c r="M200" t="s">
        <v>1799</v>
      </c>
      <c r="N200" t="s">
        <v>1799</v>
      </c>
      <c r="O200" s="184" t="str">
        <f>"["&amp;$C200&amp;"]["&amp;$D200&amp;"]["&amp;$F200&amp;"]"</f>
        <v>[S05_DefaultValues][24][InstallationCategory]</v>
      </c>
    </row>
    <row r="201" spans="1:15" x14ac:dyDescent="0.3">
      <c r="A201" t="s">
        <v>1793</v>
      </c>
      <c r="B201" t="s">
        <v>1914</v>
      </c>
      <c r="C201" t="s">
        <v>1923</v>
      </c>
      <c r="D201">
        <v>25</v>
      </c>
      <c r="E201" t="s">
        <v>1447</v>
      </c>
      <c r="F201" t="s">
        <v>1924</v>
      </c>
      <c r="G201" t="s">
        <v>1737</v>
      </c>
      <c r="H201" t="s">
        <v>1799</v>
      </c>
      <c r="I201" t="s">
        <v>1799</v>
      </c>
      <c r="J201" t="s">
        <v>1799</v>
      </c>
      <c r="K201" t="s">
        <v>1799</v>
      </c>
      <c r="L201" t="s">
        <v>1427</v>
      </c>
      <c r="M201" t="s">
        <v>1799</v>
      </c>
      <c r="N201" t="s">
        <v>1799</v>
      </c>
      <c r="O201" s="184" t="str">
        <f>"["&amp;$C201&amp;"]["&amp;$D201&amp;"]["&amp;$F201&amp;"]"</f>
        <v>[S05_DefaultValues][25][InstallationCategory]</v>
      </c>
    </row>
    <row r="202" spans="1:15" x14ac:dyDescent="0.3">
      <c r="A202" t="s">
        <v>1793</v>
      </c>
      <c r="B202" t="s">
        <v>1914</v>
      </c>
      <c r="C202" t="s">
        <v>1923</v>
      </c>
      <c r="D202">
        <v>26</v>
      </c>
      <c r="E202" t="s">
        <v>1447</v>
      </c>
      <c r="F202" t="s">
        <v>1924</v>
      </c>
      <c r="G202" t="s">
        <v>1737</v>
      </c>
      <c r="H202" t="s">
        <v>1799</v>
      </c>
      <c r="I202" t="s">
        <v>1799</v>
      </c>
      <c r="J202" t="s">
        <v>1799</v>
      </c>
      <c r="K202" t="s">
        <v>1799</v>
      </c>
      <c r="L202" t="s">
        <v>1427</v>
      </c>
      <c r="M202" t="s">
        <v>1799</v>
      </c>
      <c r="N202" t="s">
        <v>1799</v>
      </c>
      <c r="O202" s="184" t="str">
        <f>"["&amp;$C202&amp;"]["&amp;$D202&amp;"]["&amp;$F202&amp;"]"</f>
        <v>[S05_DefaultValues][26][InstallationCategory]</v>
      </c>
    </row>
    <row r="203" spans="1:15" x14ac:dyDescent="0.3">
      <c r="A203" t="s">
        <v>1793</v>
      </c>
      <c r="B203" t="s">
        <v>1914</v>
      </c>
      <c r="C203" t="s">
        <v>1923</v>
      </c>
      <c r="D203">
        <v>27</v>
      </c>
      <c r="E203" t="s">
        <v>1447</v>
      </c>
      <c r="F203" t="s">
        <v>1924</v>
      </c>
      <c r="G203" t="s">
        <v>1737</v>
      </c>
      <c r="H203" t="s">
        <v>1799</v>
      </c>
      <c r="I203" t="s">
        <v>1799</v>
      </c>
      <c r="J203" t="s">
        <v>1799</v>
      </c>
      <c r="K203" t="s">
        <v>1799</v>
      </c>
      <c r="L203" t="s">
        <v>1427</v>
      </c>
      <c r="M203" t="s">
        <v>1799</v>
      </c>
      <c r="N203" t="s">
        <v>1799</v>
      </c>
      <c r="O203" s="184" t="str">
        <f>"["&amp;$C203&amp;"]["&amp;$D203&amp;"]["&amp;$F203&amp;"]"</f>
        <v>[S05_DefaultValues][27][InstallationCategory]</v>
      </c>
    </row>
    <row r="204" spans="1:15" x14ac:dyDescent="0.3">
      <c r="A204" t="s">
        <v>1793</v>
      </c>
      <c r="B204" t="s">
        <v>1914</v>
      </c>
      <c r="C204" t="s">
        <v>1923</v>
      </c>
      <c r="D204">
        <v>28</v>
      </c>
      <c r="E204" t="s">
        <v>1447</v>
      </c>
      <c r="F204" t="s">
        <v>1924</v>
      </c>
      <c r="G204" t="s">
        <v>1737</v>
      </c>
      <c r="H204" t="s">
        <v>1799</v>
      </c>
      <c r="I204" t="s">
        <v>1799</v>
      </c>
      <c r="J204" t="s">
        <v>1799</v>
      </c>
      <c r="K204" t="s">
        <v>1799</v>
      </c>
      <c r="L204" t="s">
        <v>1427</v>
      </c>
      <c r="M204" t="s">
        <v>1799</v>
      </c>
      <c r="N204" t="s">
        <v>1799</v>
      </c>
      <c r="O204" s="184" t="str">
        <f>"["&amp;$C204&amp;"]["&amp;$D204&amp;"]["&amp;$F204&amp;"]"</f>
        <v>[S05_DefaultValues][28][InstallationCategory]</v>
      </c>
    </row>
    <row r="205" spans="1:15" x14ac:dyDescent="0.3">
      <c r="A205" t="s">
        <v>1793</v>
      </c>
      <c r="B205" t="s">
        <v>1914</v>
      </c>
      <c r="C205" t="s">
        <v>1923</v>
      </c>
      <c r="D205">
        <v>29</v>
      </c>
      <c r="E205" t="s">
        <v>1447</v>
      </c>
      <c r="F205" t="s">
        <v>1924</v>
      </c>
      <c r="G205" t="s">
        <v>1737</v>
      </c>
      <c r="H205" t="s">
        <v>1799</v>
      </c>
      <c r="I205" t="s">
        <v>1799</v>
      </c>
      <c r="J205" t="s">
        <v>1799</v>
      </c>
      <c r="K205" t="s">
        <v>1799</v>
      </c>
      <c r="L205" t="s">
        <v>1427</v>
      </c>
      <c r="M205" t="s">
        <v>1799</v>
      </c>
      <c r="N205" t="s">
        <v>1799</v>
      </c>
      <c r="O205" s="184" t="str">
        <f>"["&amp;$C205&amp;"]["&amp;$D205&amp;"]["&amp;$F205&amp;"]"</f>
        <v>[S05_DefaultValues][29][InstallationCategory]</v>
      </c>
    </row>
    <row r="206" spans="1:15" x14ac:dyDescent="0.3">
      <c r="A206" t="s">
        <v>1793</v>
      </c>
      <c r="B206" t="s">
        <v>1914</v>
      </c>
      <c r="C206" t="s">
        <v>1923</v>
      </c>
      <c r="D206">
        <v>30</v>
      </c>
      <c r="E206" t="s">
        <v>1447</v>
      </c>
      <c r="F206" t="s">
        <v>1924</v>
      </c>
      <c r="G206" t="s">
        <v>1737</v>
      </c>
      <c r="H206" t="s">
        <v>1799</v>
      </c>
      <c r="I206" t="s">
        <v>1799</v>
      </c>
      <c r="J206" t="s">
        <v>1799</v>
      </c>
      <c r="K206" t="s">
        <v>1799</v>
      </c>
      <c r="L206" t="s">
        <v>1427</v>
      </c>
      <c r="M206" t="s">
        <v>1799</v>
      </c>
      <c r="N206" t="s">
        <v>1799</v>
      </c>
      <c r="O206" s="184" t="str">
        <f>"["&amp;$C206&amp;"]["&amp;$D206&amp;"]["&amp;$F206&amp;"]"</f>
        <v>[S05_DefaultValues][30][InstallationCategory]</v>
      </c>
    </row>
    <row r="207" spans="1:15" x14ac:dyDescent="0.3">
      <c r="A207" t="s">
        <v>1793</v>
      </c>
      <c r="B207" t="s">
        <v>1914</v>
      </c>
      <c r="C207" t="s">
        <v>1923</v>
      </c>
      <c r="D207">
        <v>1</v>
      </c>
      <c r="E207" t="s">
        <v>1447</v>
      </c>
      <c r="F207" t="s">
        <v>1925</v>
      </c>
      <c r="G207" t="s">
        <v>1797</v>
      </c>
      <c r="H207" t="s">
        <v>1926</v>
      </c>
      <c r="I207" t="s">
        <v>1799</v>
      </c>
      <c r="J207" t="s">
        <v>1799</v>
      </c>
      <c r="K207" t="s">
        <v>1799</v>
      </c>
      <c r="L207" t="s">
        <v>1799</v>
      </c>
      <c r="M207" t="s">
        <v>1799</v>
      </c>
      <c r="N207" t="s">
        <v>1799</v>
      </c>
      <c r="O207" s="184" t="str">
        <f>"["&amp;$C207&amp;"]["&amp;$D207&amp;"]["&amp;$F207&amp;"]"</f>
        <v>[S05_DefaultValues][1][FuelMaterialType]</v>
      </c>
    </row>
    <row r="208" spans="1:15" x14ac:dyDescent="0.3">
      <c r="A208" t="s">
        <v>1793</v>
      </c>
      <c r="B208" t="s">
        <v>1914</v>
      </c>
      <c r="C208" t="s">
        <v>1923</v>
      </c>
      <c r="D208">
        <v>2</v>
      </c>
      <c r="E208" t="s">
        <v>1447</v>
      </c>
      <c r="F208" t="s">
        <v>1925</v>
      </c>
      <c r="G208" t="s">
        <v>1797</v>
      </c>
      <c r="H208" t="s">
        <v>1927</v>
      </c>
      <c r="I208" t="s">
        <v>1799</v>
      </c>
      <c r="J208" t="s">
        <v>1799</v>
      </c>
      <c r="K208" t="s">
        <v>1799</v>
      </c>
      <c r="L208" t="s">
        <v>1799</v>
      </c>
      <c r="M208" t="s">
        <v>1799</v>
      </c>
      <c r="N208" t="s">
        <v>1799</v>
      </c>
      <c r="O208" s="184" t="str">
        <f>"["&amp;$C208&amp;"]["&amp;$D208&amp;"]["&amp;$F208&amp;"]"</f>
        <v>[S05_DefaultValues][2][FuelMaterialType]</v>
      </c>
    </row>
    <row r="209" spans="1:15" x14ac:dyDescent="0.3">
      <c r="A209" t="s">
        <v>1793</v>
      </c>
      <c r="B209" t="s">
        <v>1914</v>
      </c>
      <c r="C209" t="s">
        <v>1923</v>
      </c>
      <c r="D209">
        <v>3</v>
      </c>
      <c r="E209" t="s">
        <v>1447</v>
      </c>
      <c r="F209" t="s">
        <v>1925</v>
      </c>
      <c r="G209" t="s">
        <v>1797</v>
      </c>
      <c r="H209" t="s">
        <v>1928</v>
      </c>
      <c r="I209" t="s">
        <v>1799</v>
      </c>
      <c r="J209" t="s">
        <v>1799</v>
      </c>
      <c r="K209" t="s">
        <v>1799</v>
      </c>
      <c r="L209" t="s">
        <v>1799</v>
      </c>
      <c r="M209" t="s">
        <v>1799</v>
      </c>
      <c r="N209" t="s">
        <v>1799</v>
      </c>
      <c r="O209" s="184" t="str">
        <f>"["&amp;$C209&amp;"]["&amp;$D209&amp;"]["&amp;$F209&amp;"]"</f>
        <v>[S05_DefaultValues][3][FuelMaterialType]</v>
      </c>
    </row>
    <row r="210" spans="1:15" x14ac:dyDescent="0.3">
      <c r="A210" t="s">
        <v>1793</v>
      </c>
      <c r="B210" t="s">
        <v>1914</v>
      </c>
      <c r="C210" t="s">
        <v>1923</v>
      </c>
      <c r="D210">
        <v>4</v>
      </c>
      <c r="E210" t="s">
        <v>1447</v>
      </c>
      <c r="F210" t="s">
        <v>1925</v>
      </c>
      <c r="G210" t="s">
        <v>1797</v>
      </c>
      <c r="H210" t="s">
        <v>1929</v>
      </c>
      <c r="I210" t="s">
        <v>1799</v>
      </c>
      <c r="J210" t="s">
        <v>1799</v>
      </c>
      <c r="K210" t="s">
        <v>1799</v>
      </c>
      <c r="L210" t="s">
        <v>1799</v>
      </c>
      <c r="M210" t="s">
        <v>1799</v>
      </c>
      <c r="N210" t="s">
        <v>1799</v>
      </c>
      <c r="O210" s="184" t="str">
        <f>"["&amp;$C210&amp;"]["&amp;$D210&amp;"]["&amp;$F210&amp;"]"</f>
        <v>[S05_DefaultValues][4][FuelMaterialType]</v>
      </c>
    </row>
    <row r="211" spans="1:15" x14ac:dyDescent="0.3">
      <c r="A211" t="s">
        <v>1793</v>
      </c>
      <c r="B211" t="s">
        <v>1914</v>
      </c>
      <c r="C211" t="s">
        <v>1923</v>
      </c>
      <c r="D211">
        <v>5</v>
      </c>
      <c r="E211" t="s">
        <v>1447</v>
      </c>
      <c r="F211" t="s">
        <v>1925</v>
      </c>
      <c r="G211" t="s">
        <v>1797</v>
      </c>
      <c r="H211" t="s">
        <v>1926</v>
      </c>
      <c r="I211" t="s">
        <v>1799</v>
      </c>
      <c r="J211" t="s">
        <v>1799</v>
      </c>
      <c r="K211" t="s">
        <v>1799</v>
      </c>
      <c r="L211" t="s">
        <v>1799</v>
      </c>
      <c r="M211" t="s">
        <v>1799</v>
      </c>
      <c r="N211" t="s">
        <v>1799</v>
      </c>
      <c r="O211" s="184" t="str">
        <f>"["&amp;$C211&amp;"]["&amp;$D211&amp;"]["&amp;$F211&amp;"]"</f>
        <v>[S05_DefaultValues][5][FuelMaterialType]</v>
      </c>
    </row>
    <row r="212" spans="1:15" x14ac:dyDescent="0.3">
      <c r="A212" t="s">
        <v>1793</v>
      </c>
      <c r="B212" t="s">
        <v>1914</v>
      </c>
      <c r="C212" t="s">
        <v>1923</v>
      </c>
      <c r="D212">
        <v>6</v>
      </c>
      <c r="E212" t="s">
        <v>1447</v>
      </c>
      <c r="F212" t="s">
        <v>1925</v>
      </c>
      <c r="G212" t="s">
        <v>1797</v>
      </c>
      <c r="H212" t="s">
        <v>1927</v>
      </c>
      <c r="I212" t="s">
        <v>1799</v>
      </c>
      <c r="J212" t="s">
        <v>1799</v>
      </c>
      <c r="K212" t="s">
        <v>1799</v>
      </c>
      <c r="L212" t="s">
        <v>1799</v>
      </c>
      <c r="M212" t="s">
        <v>1799</v>
      </c>
      <c r="N212" t="s">
        <v>1799</v>
      </c>
      <c r="O212" s="184" t="str">
        <f>"["&amp;$C212&amp;"]["&amp;$D212&amp;"]["&amp;$F212&amp;"]"</f>
        <v>[S05_DefaultValues][6][FuelMaterialType]</v>
      </c>
    </row>
    <row r="213" spans="1:15" x14ac:dyDescent="0.3">
      <c r="A213" t="s">
        <v>1793</v>
      </c>
      <c r="B213" t="s">
        <v>1914</v>
      </c>
      <c r="C213" t="s">
        <v>1923</v>
      </c>
      <c r="D213">
        <v>7</v>
      </c>
      <c r="E213" t="s">
        <v>1447</v>
      </c>
      <c r="F213" t="s">
        <v>1925</v>
      </c>
      <c r="G213" t="s">
        <v>1797</v>
      </c>
      <c r="H213" t="s">
        <v>1929</v>
      </c>
      <c r="I213" t="s">
        <v>1799</v>
      </c>
      <c r="J213" t="s">
        <v>1799</v>
      </c>
      <c r="K213" t="s">
        <v>1799</v>
      </c>
      <c r="L213" t="s">
        <v>1799</v>
      </c>
      <c r="M213" t="s">
        <v>1799</v>
      </c>
      <c r="N213" t="s">
        <v>1799</v>
      </c>
      <c r="O213" s="184" t="str">
        <f>"["&amp;$C213&amp;"]["&amp;$D213&amp;"]["&amp;$F213&amp;"]"</f>
        <v>[S05_DefaultValues][7][FuelMaterialType]</v>
      </c>
    </row>
    <row r="214" spans="1:15" x14ac:dyDescent="0.3">
      <c r="A214" t="s">
        <v>1793</v>
      </c>
      <c r="B214" t="s">
        <v>1914</v>
      </c>
      <c r="C214" t="s">
        <v>1923</v>
      </c>
      <c r="D214">
        <v>8</v>
      </c>
      <c r="E214" t="s">
        <v>1447</v>
      </c>
      <c r="F214" t="s">
        <v>1925</v>
      </c>
      <c r="G214" t="s">
        <v>1797</v>
      </c>
      <c r="H214" t="s">
        <v>1930</v>
      </c>
      <c r="I214" t="s">
        <v>1799</v>
      </c>
      <c r="J214" t="s">
        <v>1799</v>
      </c>
      <c r="K214" t="s">
        <v>1799</v>
      </c>
      <c r="L214" t="s">
        <v>1799</v>
      </c>
      <c r="M214" t="s">
        <v>1799</v>
      </c>
      <c r="N214" t="s">
        <v>1799</v>
      </c>
      <c r="O214" s="184" t="str">
        <f>"["&amp;$C214&amp;"]["&amp;$D214&amp;"]["&amp;$F214&amp;"]"</f>
        <v>[S05_DefaultValues][8][FuelMaterialType]</v>
      </c>
    </row>
    <row r="215" spans="1:15" x14ac:dyDescent="0.3">
      <c r="A215" t="s">
        <v>1793</v>
      </c>
      <c r="B215" t="s">
        <v>1914</v>
      </c>
      <c r="C215" t="s">
        <v>1923</v>
      </c>
      <c r="D215">
        <v>9</v>
      </c>
      <c r="E215" t="s">
        <v>1447</v>
      </c>
      <c r="F215" t="s">
        <v>1925</v>
      </c>
      <c r="G215" t="s">
        <v>1797</v>
      </c>
      <c r="H215" t="s">
        <v>1929</v>
      </c>
      <c r="I215" t="s">
        <v>1799</v>
      </c>
      <c r="J215" t="s">
        <v>1799</v>
      </c>
      <c r="K215" t="s">
        <v>1799</v>
      </c>
      <c r="L215" t="s">
        <v>1799</v>
      </c>
      <c r="M215" t="s">
        <v>1799</v>
      </c>
      <c r="N215" t="s">
        <v>1799</v>
      </c>
      <c r="O215" s="184" t="str">
        <f>"["&amp;$C215&amp;"]["&amp;$D215&amp;"]["&amp;$F215&amp;"]"</f>
        <v>[S05_DefaultValues][9][FuelMaterialType]</v>
      </c>
    </row>
    <row r="216" spans="1:15" x14ac:dyDescent="0.3">
      <c r="A216" t="s">
        <v>1793</v>
      </c>
      <c r="B216" t="s">
        <v>1914</v>
      </c>
      <c r="C216" t="s">
        <v>1923</v>
      </c>
      <c r="D216">
        <v>10</v>
      </c>
      <c r="E216" t="s">
        <v>1447</v>
      </c>
      <c r="F216" t="s">
        <v>1925</v>
      </c>
      <c r="G216" t="s">
        <v>1797</v>
      </c>
      <c r="H216" t="s">
        <v>1926</v>
      </c>
      <c r="I216" t="s">
        <v>1799</v>
      </c>
      <c r="J216" t="s">
        <v>1799</v>
      </c>
      <c r="K216" t="s">
        <v>1799</v>
      </c>
      <c r="L216" t="s">
        <v>1799</v>
      </c>
      <c r="M216" t="s">
        <v>1799</v>
      </c>
      <c r="N216" t="s">
        <v>1799</v>
      </c>
      <c r="O216" s="184" t="str">
        <f>"["&amp;$C216&amp;"]["&amp;$D216&amp;"]["&amp;$F216&amp;"]"</f>
        <v>[S05_DefaultValues][10][FuelMaterialType]</v>
      </c>
    </row>
    <row r="217" spans="1:15" x14ac:dyDescent="0.3">
      <c r="A217" t="s">
        <v>1793</v>
      </c>
      <c r="B217" t="s">
        <v>1914</v>
      </c>
      <c r="C217" t="s">
        <v>1923</v>
      </c>
      <c r="D217">
        <v>11</v>
      </c>
      <c r="E217" t="s">
        <v>1447</v>
      </c>
      <c r="F217" t="s">
        <v>1925</v>
      </c>
      <c r="G217" t="s">
        <v>1797</v>
      </c>
      <c r="H217" t="s">
        <v>1930</v>
      </c>
      <c r="I217" t="s">
        <v>1799</v>
      </c>
      <c r="J217" t="s">
        <v>1799</v>
      </c>
      <c r="K217" t="s">
        <v>1799</v>
      </c>
      <c r="L217" t="s">
        <v>1799</v>
      </c>
      <c r="M217" t="s">
        <v>1799</v>
      </c>
      <c r="N217" t="s">
        <v>1799</v>
      </c>
      <c r="O217" s="184" t="str">
        <f>"["&amp;$C217&amp;"]["&amp;$D217&amp;"]["&amp;$F217&amp;"]"</f>
        <v>[S05_DefaultValues][11][FuelMaterialType]</v>
      </c>
    </row>
    <row r="218" spans="1:15" x14ac:dyDescent="0.3">
      <c r="A218" t="s">
        <v>1793</v>
      </c>
      <c r="B218" t="s">
        <v>1914</v>
      </c>
      <c r="C218" t="s">
        <v>1923</v>
      </c>
      <c r="D218">
        <v>12</v>
      </c>
      <c r="E218" t="s">
        <v>1447</v>
      </c>
      <c r="F218" t="s">
        <v>1925</v>
      </c>
      <c r="G218" t="s">
        <v>1797</v>
      </c>
      <c r="H218" t="s">
        <v>1927</v>
      </c>
      <c r="I218" t="s">
        <v>1799</v>
      </c>
      <c r="J218" t="s">
        <v>1799</v>
      </c>
      <c r="K218" t="s">
        <v>1799</v>
      </c>
      <c r="L218" t="s">
        <v>1799</v>
      </c>
      <c r="M218" t="s">
        <v>1799</v>
      </c>
      <c r="N218" t="s">
        <v>1799</v>
      </c>
      <c r="O218" s="184" t="str">
        <f>"["&amp;$C218&amp;"]["&amp;$D218&amp;"]["&amp;$F218&amp;"]"</f>
        <v>[S05_DefaultValues][12][FuelMaterialType]</v>
      </c>
    </row>
    <row r="219" spans="1:15" x14ac:dyDescent="0.3">
      <c r="A219" t="s">
        <v>1793</v>
      </c>
      <c r="B219" t="s">
        <v>1914</v>
      </c>
      <c r="C219" t="s">
        <v>1923</v>
      </c>
      <c r="D219">
        <v>13</v>
      </c>
      <c r="E219" t="s">
        <v>1447</v>
      </c>
      <c r="F219" t="s">
        <v>1925</v>
      </c>
      <c r="G219" t="s">
        <v>1797</v>
      </c>
      <c r="H219" t="s">
        <v>1931</v>
      </c>
      <c r="I219" t="s">
        <v>1799</v>
      </c>
      <c r="J219" t="s">
        <v>1799</v>
      </c>
      <c r="K219" t="s">
        <v>1799</v>
      </c>
      <c r="L219" t="s">
        <v>1799</v>
      </c>
      <c r="M219" t="s">
        <v>1799</v>
      </c>
      <c r="N219" t="s">
        <v>1799</v>
      </c>
      <c r="O219" s="184" t="str">
        <f>"["&amp;$C219&amp;"]["&amp;$D219&amp;"]["&amp;$F219&amp;"]"</f>
        <v>[S05_DefaultValues][13][FuelMaterialType]</v>
      </c>
    </row>
    <row r="220" spans="1:15" x14ac:dyDescent="0.3">
      <c r="A220" t="s">
        <v>1793</v>
      </c>
      <c r="B220" t="s">
        <v>1914</v>
      </c>
      <c r="C220" t="s">
        <v>1923</v>
      </c>
      <c r="D220">
        <v>14</v>
      </c>
      <c r="E220" t="s">
        <v>1447</v>
      </c>
      <c r="F220" t="s">
        <v>1925</v>
      </c>
      <c r="G220" t="s">
        <v>1797</v>
      </c>
      <c r="H220" t="s">
        <v>1932</v>
      </c>
      <c r="I220" t="s">
        <v>1799</v>
      </c>
      <c r="J220" t="s">
        <v>1799</v>
      </c>
      <c r="K220" t="s">
        <v>1799</v>
      </c>
      <c r="L220" t="s">
        <v>1799</v>
      </c>
      <c r="M220" t="s">
        <v>1799</v>
      </c>
      <c r="N220" t="s">
        <v>1799</v>
      </c>
      <c r="O220" s="184" t="str">
        <f>"["&amp;$C220&amp;"]["&amp;$D220&amp;"]["&amp;$F220&amp;"]"</f>
        <v>[S05_DefaultValues][14][FuelMaterialType]</v>
      </c>
    </row>
    <row r="221" spans="1:15" x14ac:dyDescent="0.3">
      <c r="A221" t="s">
        <v>1793</v>
      </c>
      <c r="B221" t="s">
        <v>1914</v>
      </c>
      <c r="C221" t="s">
        <v>1923</v>
      </c>
      <c r="D221">
        <v>15</v>
      </c>
      <c r="E221" t="s">
        <v>1447</v>
      </c>
      <c r="F221" t="s">
        <v>1925</v>
      </c>
      <c r="G221" t="s">
        <v>1797</v>
      </c>
      <c r="H221" t="s">
        <v>1933</v>
      </c>
      <c r="I221" t="s">
        <v>1799</v>
      </c>
      <c r="J221" t="s">
        <v>1799</v>
      </c>
      <c r="K221" t="s">
        <v>1799</v>
      </c>
      <c r="L221" t="s">
        <v>1799</v>
      </c>
      <c r="M221" t="s">
        <v>1799</v>
      </c>
      <c r="N221" t="s">
        <v>1799</v>
      </c>
      <c r="O221" s="184" t="str">
        <f>"["&amp;$C221&amp;"]["&amp;$D221&amp;"]["&amp;$F221&amp;"]"</f>
        <v>[S05_DefaultValues][15][FuelMaterialType]</v>
      </c>
    </row>
    <row r="222" spans="1:15" x14ac:dyDescent="0.3">
      <c r="A222" t="s">
        <v>1793</v>
      </c>
      <c r="B222" t="s">
        <v>1914</v>
      </c>
      <c r="C222" t="s">
        <v>1923</v>
      </c>
      <c r="D222">
        <v>16</v>
      </c>
      <c r="E222" t="s">
        <v>1447</v>
      </c>
      <c r="F222" t="s">
        <v>1925</v>
      </c>
      <c r="G222" t="s">
        <v>1797</v>
      </c>
      <c r="H222" t="s">
        <v>1934</v>
      </c>
      <c r="I222" t="s">
        <v>1799</v>
      </c>
      <c r="J222" t="s">
        <v>1799</v>
      </c>
      <c r="K222" t="s">
        <v>1799</v>
      </c>
      <c r="L222" t="s">
        <v>1799</v>
      </c>
      <c r="M222" t="s">
        <v>1799</v>
      </c>
      <c r="N222" t="s">
        <v>1799</v>
      </c>
      <c r="O222" s="184" t="str">
        <f>"["&amp;$C222&amp;"]["&amp;$D222&amp;"]["&amp;$F222&amp;"]"</f>
        <v>[S05_DefaultValues][16][FuelMaterialType]</v>
      </c>
    </row>
    <row r="223" spans="1:15" x14ac:dyDescent="0.3">
      <c r="A223" t="s">
        <v>1793</v>
      </c>
      <c r="B223" t="s">
        <v>1914</v>
      </c>
      <c r="C223" t="s">
        <v>1923</v>
      </c>
      <c r="D223">
        <v>17</v>
      </c>
      <c r="E223" t="s">
        <v>1447</v>
      </c>
      <c r="F223" t="s">
        <v>1925</v>
      </c>
      <c r="G223" t="s">
        <v>1797</v>
      </c>
      <c r="H223" t="s">
        <v>1935</v>
      </c>
      <c r="I223" t="s">
        <v>1799</v>
      </c>
      <c r="J223" t="s">
        <v>1799</v>
      </c>
      <c r="K223" t="s">
        <v>1799</v>
      </c>
      <c r="L223" t="s">
        <v>1799</v>
      </c>
      <c r="M223" t="s">
        <v>1799</v>
      </c>
      <c r="N223" t="s">
        <v>1799</v>
      </c>
      <c r="O223" s="184" t="str">
        <f>"["&amp;$C223&amp;"]["&amp;$D223&amp;"]["&amp;$F223&amp;"]"</f>
        <v>[S05_DefaultValues][17][FuelMaterialType]</v>
      </c>
    </row>
    <row r="224" spans="1:15" x14ac:dyDescent="0.3">
      <c r="A224" t="s">
        <v>1793</v>
      </c>
      <c r="B224" t="s">
        <v>1914</v>
      </c>
      <c r="C224" t="s">
        <v>1923</v>
      </c>
      <c r="D224">
        <v>18</v>
      </c>
      <c r="E224" t="s">
        <v>1447</v>
      </c>
      <c r="F224" t="s">
        <v>1925</v>
      </c>
      <c r="G224" t="s">
        <v>1797</v>
      </c>
      <c r="H224" t="s">
        <v>1936</v>
      </c>
      <c r="I224" t="s">
        <v>1799</v>
      </c>
      <c r="J224" t="s">
        <v>1799</v>
      </c>
      <c r="K224" t="s">
        <v>1799</v>
      </c>
      <c r="L224" t="s">
        <v>1799</v>
      </c>
      <c r="M224" t="s">
        <v>1799</v>
      </c>
      <c r="N224" t="s">
        <v>1799</v>
      </c>
      <c r="O224" s="184" t="str">
        <f>"["&amp;$C224&amp;"]["&amp;$D224&amp;"]["&amp;$F224&amp;"]"</f>
        <v>[S05_DefaultValues][18][FuelMaterialType]</v>
      </c>
    </row>
    <row r="225" spans="1:15" x14ac:dyDescent="0.3">
      <c r="A225" t="s">
        <v>1793</v>
      </c>
      <c r="B225" t="s">
        <v>1914</v>
      </c>
      <c r="C225" t="s">
        <v>1923</v>
      </c>
      <c r="D225">
        <v>19</v>
      </c>
      <c r="E225" t="s">
        <v>1447</v>
      </c>
      <c r="F225" t="s">
        <v>1925</v>
      </c>
      <c r="G225" t="s">
        <v>1797</v>
      </c>
      <c r="H225" t="s">
        <v>1937</v>
      </c>
      <c r="I225" t="s">
        <v>1799</v>
      </c>
      <c r="J225" t="s">
        <v>1799</v>
      </c>
      <c r="K225" t="s">
        <v>1799</v>
      </c>
      <c r="L225" t="s">
        <v>1799</v>
      </c>
      <c r="M225" t="s">
        <v>1799</v>
      </c>
      <c r="N225" t="s">
        <v>1799</v>
      </c>
      <c r="O225" s="184" t="str">
        <f>"["&amp;$C225&amp;"]["&amp;$D225&amp;"]["&amp;$F225&amp;"]"</f>
        <v>[S05_DefaultValues][19][FuelMaterialType]</v>
      </c>
    </row>
    <row r="226" spans="1:15" x14ac:dyDescent="0.3">
      <c r="A226" t="s">
        <v>1793</v>
      </c>
      <c r="B226" t="s">
        <v>1914</v>
      </c>
      <c r="C226" t="s">
        <v>1923</v>
      </c>
      <c r="D226">
        <v>20</v>
      </c>
      <c r="E226" t="s">
        <v>1447</v>
      </c>
      <c r="F226" t="s">
        <v>1925</v>
      </c>
      <c r="G226" t="s">
        <v>1797</v>
      </c>
      <c r="H226" t="s">
        <v>1938</v>
      </c>
      <c r="I226" t="s">
        <v>1799</v>
      </c>
      <c r="J226" t="s">
        <v>1799</v>
      </c>
      <c r="K226" t="s">
        <v>1799</v>
      </c>
      <c r="L226" t="s">
        <v>1799</v>
      </c>
      <c r="M226" t="s">
        <v>1799</v>
      </c>
      <c r="N226" t="s">
        <v>1799</v>
      </c>
      <c r="O226" s="184" t="str">
        <f>"["&amp;$C226&amp;"]["&amp;$D226&amp;"]["&amp;$F226&amp;"]"</f>
        <v>[S05_DefaultValues][20][FuelMaterialType]</v>
      </c>
    </row>
    <row r="227" spans="1:15" x14ac:dyDescent="0.3">
      <c r="A227" t="s">
        <v>1793</v>
      </c>
      <c r="B227" t="s">
        <v>1914</v>
      </c>
      <c r="C227" t="s">
        <v>1923</v>
      </c>
      <c r="D227">
        <v>21</v>
      </c>
      <c r="E227" t="s">
        <v>1447</v>
      </c>
      <c r="F227" t="s">
        <v>1925</v>
      </c>
      <c r="G227" t="s">
        <v>1797</v>
      </c>
      <c r="H227" t="s">
        <v>1939</v>
      </c>
      <c r="I227" t="s">
        <v>1799</v>
      </c>
      <c r="J227" t="s">
        <v>1799</v>
      </c>
      <c r="K227" t="s">
        <v>1799</v>
      </c>
      <c r="L227" t="s">
        <v>1799</v>
      </c>
      <c r="M227" t="s">
        <v>1799</v>
      </c>
      <c r="N227" t="s">
        <v>1799</v>
      </c>
      <c r="O227" s="184" t="str">
        <f>"["&amp;$C227&amp;"]["&amp;$D227&amp;"]["&amp;$F227&amp;"]"</f>
        <v>[S05_DefaultValues][21][FuelMaterialType]</v>
      </c>
    </row>
    <row r="228" spans="1:15" x14ac:dyDescent="0.3">
      <c r="A228" t="s">
        <v>1793</v>
      </c>
      <c r="B228" t="s">
        <v>1914</v>
      </c>
      <c r="C228" t="s">
        <v>1923</v>
      </c>
      <c r="D228">
        <v>22</v>
      </c>
      <c r="E228" t="s">
        <v>1447</v>
      </c>
      <c r="F228" t="s">
        <v>1925</v>
      </c>
      <c r="G228" t="s">
        <v>1797</v>
      </c>
      <c r="H228" t="s">
        <v>1929</v>
      </c>
      <c r="I228" t="s">
        <v>1799</v>
      </c>
      <c r="J228" t="s">
        <v>1799</v>
      </c>
      <c r="K228" t="s">
        <v>1799</v>
      </c>
      <c r="L228" t="s">
        <v>1799</v>
      </c>
      <c r="M228" t="s">
        <v>1799</v>
      </c>
      <c r="N228" t="s">
        <v>1799</v>
      </c>
      <c r="O228" s="184" t="str">
        <f>"["&amp;$C228&amp;"]["&amp;$D228&amp;"]["&amp;$F228&amp;"]"</f>
        <v>[S05_DefaultValues][22][FuelMaterialType]</v>
      </c>
    </row>
    <row r="229" spans="1:15" x14ac:dyDescent="0.3">
      <c r="A229" t="s">
        <v>1793</v>
      </c>
      <c r="B229" t="s">
        <v>1914</v>
      </c>
      <c r="C229" t="s">
        <v>1923</v>
      </c>
      <c r="D229">
        <v>23</v>
      </c>
      <c r="E229" t="s">
        <v>1447</v>
      </c>
      <c r="F229" t="s">
        <v>1925</v>
      </c>
      <c r="G229" t="s">
        <v>1797</v>
      </c>
      <c r="H229" t="s">
        <v>1930</v>
      </c>
      <c r="I229" t="s">
        <v>1799</v>
      </c>
      <c r="J229" t="s">
        <v>1799</v>
      </c>
      <c r="K229" t="s">
        <v>1799</v>
      </c>
      <c r="L229" t="s">
        <v>1799</v>
      </c>
      <c r="M229" t="s">
        <v>1799</v>
      </c>
      <c r="N229" t="s">
        <v>1799</v>
      </c>
      <c r="O229" s="184" t="str">
        <f>"["&amp;$C229&amp;"]["&amp;$D229&amp;"]["&amp;$F229&amp;"]"</f>
        <v>[S05_DefaultValues][23][FuelMaterialType]</v>
      </c>
    </row>
    <row r="230" spans="1:15" x14ac:dyDescent="0.3">
      <c r="A230" t="s">
        <v>1793</v>
      </c>
      <c r="B230" t="s">
        <v>1914</v>
      </c>
      <c r="C230" t="s">
        <v>1923</v>
      </c>
      <c r="D230">
        <v>24</v>
      </c>
      <c r="E230" t="s">
        <v>1447</v>
      </c>
      <c r="F230" t="s">
        <v>1925</v>
      </c>
      <c r="G230" t="s">
        <v>1797</v>
      </c>
      <c r="H230" t="s">
        <v>1934</v>
      </c>
      <c r="I230" t="s">
        <v>1799</v>
      </c>
      <c r="J230" t="s">
        <v>1799</v>
      </c>
      <c r="K230" t="s">
        <v>1799</v>
      </c>
      <c r="L230" t="s">
        <v>1799</v>
      </c>
      <c r="M230" t="s">
        <v>1799</v>
      </c>
      <c r="N230" t="s">
        <v>1799</v>
      </c>
      <c r="O230" s="184" t="str">
        <f>"["&amp;$C230&amp;"]["&amp;$D230&amp;"]["&amp;$F230&amp;"]"</f>
        <v>[S05_DefaultValues][24][FuelMaterialType]</v>
      </c>
    </row>
    <row r="231" spans="1:15" x14ac:dyDescent="0.3">
      <c r="A231" t="s">
        <v>1793</v>
      </c>
      <c r="B231" t="s">
        <v>1914</v>
      </c>
      <c r="C231" t="s">
        <v>1923</v>
      </c>
      <c r="D231">
        <v>25</v>
      </c>
      <c r="E231" t="s">
        <v>1447</v>
      </c>
      <c r="F231" t="s">
        <v>1925</v>
      </c>
      <c r="G231" t="s">
        <v>1797</v>
      </c>
      <c r="H231" t="s">
        <v>1927</v>
      </c>
      <c r="I231" t="s">
        <v>1799</v>
      </c>
      <c r="J231" t="s">
        <v>1799</v>
      </c>
      <c r="K231" t="s">
        <v>1799</v>
      </c>
      <c r="L231" t="s">
        <v>1799</v>
      </c>
      <c r="M231" t="s">
        <v>1799</v>
      </c>
      <c r="N231" t="s">
        <v>1799</v>
      </c>
      <c r="O231" s="184" t="str">
        <f>"["&amp;$C231&amp;"]["&amp;$D231&amp;"]["&amp;$F231&amp;"]"</f>
        <v>[S05_DefaultValues][25][FuelMaterialType]</v>
      </c>
    </row>
    <row r="232" spans="1:15" x14ac:dyDescent="0.3">
      <c r="A232" t="s">
        <v>1793</v>
      </c>
      <c r="B232" t="s">
        <v>1914</v>
      </c>
      <c r="C232" t="s">
        <v>1923</v>
      </c>
      <c r="D232">
        <v>26</v>
      </c>
      <c r="E232" t="s">
        <v>1447</v>
      </c>
      <c r="F232" t="s">
        <v>1925</v>
      </c>
      <c r="G232" t="s">
        <v>1797</v>
      </c>
      <c r="H232" t="s">
        <v>1926</v>
      </c>
      <c r="I232" t="s">
        <v>1799</v>
      </c>
      <c r="J232" t="s">
        <v>1799</v>
      </c>
      <c r="K232" t="s">
        <v>1799</v>
      </c>
      <c r="L232" t="s">
        <v>1799</v>
      </c>
      <c r="M232" t="s">
        <v>1799</v>
      </c>
      <c r="N232" t="s">
        <v>1799</v>
      </c>
      <c r="O232" s="184" t="str">
        <f>"["&amp;$C232&amp;"]["&amp;$D232&amp;"]["&amp;$F232&amp;"]"</f>
        <v>[S05_DefaultValues][26][FuelMaterialType]</v>
      </c>
    </row>
    <row r="233" spans="1:15" x14ac:dyDescent="0.3">
      <c r="A233" t="s">
        <v>1793</v>
      </c>
      <c r="B233" t="s">
        <v>1914</v>
      </c>
      <c r="C233" t="s">
        <v>1923</v>
      </c>
      <c r="D233">
        <v>27</v>
      </c>
      <c r="E233" t="s">
        <v>1447</v>
      </c>
      <c r="F233" t="s">
        <v>1925</v>
      </c>
      <c r="G233" t="s">
        <v>1797</v>
      </c>
      <c r="H233" t="s">
        <v>1932</v>
      </c>
      <c r="I233" t="s">
        <v>1799</v>
      </c>
      <c r="J233" t="s">
        <v>1799</v>
      </c>
      <c r="K233" t="s">
        <v>1799</v>
      </c>
      <c r="L233" t="s">
        <v>1799</v>
      </c>
      <c r="M233" t="s">
        <v>1799</v>
      </c>
      <c r="N233" t="s">
        <v>1799</v>
      </c>
      <c r="O233" s="184" t="str">
        <f>"["&amp;$C233&amp;"]["&amp;$D233&amp;"]["&amp;$F233&amp;"]"</f>
        <v>[S05_DefaultValues][27][FuelMaterialType]</v>
      </c>
    </row>
    <row r="234" spans="1:15" x14ac:dyDescent="0.3">
      <c r="A234" t="s">
        <v>1793</v>
      </c>
      <c r="B234" t="s">
        <v>1914</v>
      </c>
      <c r="C234" t="s">
        <v>1923</v>
      </c>
      <c r="D234">
        <v>28</v>
      </c>
      <c r="E234" t="s">
        <v>1447</v>
      </c>
      <c r="F234" t="s">
        <v>1925</v>
      </c>
      <c r="G234" t="s">
        <v>1797</v>
      </c>
      <c r="H234" t="s">
        <v>1935</v>
      </c>
      <c r="I234" t="s">
        <v>1799</v>
      </c>
      <c r="J234" t="s">
        <v>1799</v>
      </c>
      <c r="K234" t="s">
        <v>1799</v>
      </c>
      <c r="L234" t="s">
        <v>1799</v>
      </c>
      <c r="M234" t="s">
        <v>1799</v>
      </c>
      <c r="N234" t="s">
        <v>1799</v>
      </c>
      <c r="O234" s="184" t="str">
        <f>"["&amp;$C234&amp;"]["&amp;$D234&amp;"]["&amp;$F234&amp;"]"</f>
        <v>[S05_DefaultValues][28][FuelMaterialType]</v>
      </c>
    </row>
    <row r="235" spans="1:15" x14ac:dyDescent="0.3">
      <c r="A235" t="s">
        <v>1793</v>
      </c>
      <c r="B235" t="s">
        <v>1914</v>
      </c>
      <c r="C235" t="s">
        <v>1923</v>
      </c>
      <c r="D235">
        <v>29</v>
      </c>
      <c r="E235" t="s">
        <v>1447</v>
      </c>
      <c r="F235" t="s">
        <v>1925</v>
      </c>
      <c r="G235" t="s">
        <v>1797</v>
      </c>
      <c r="H235" t="s">
        <v>1940</v>
      </c>
      <c r="I235" t="s">
        <v>1799</v>
      </c>
      <c r="J235" t="s">
        <v>1799</v>
      </c>
      <c r="K235" t="s">
        <v>1799</v>
      </c>
      <c r="L235" t="s">
        <v>1799</v>
      </c>
      <c r="M235" t="s">
        <v>1799</v>
      </c>
      <c r="N235" t="s">
        <v>1799</v>
      </c>
      <c r="O235" s="184" t="str">
        <f>"["&amp;$C235&amp;"]["&amp;$D235&amp;"]["&amp;$F235&amp;"]"</f>
        <v>[S05_DefaultValues][29][FuelMaterialType]</v>
      </c>
    </row>
    <row r="236" spans="1:15" x14ac:dyDescent="0.3">
      <c r="A236" t="s">
        <v>1793</v>
      </c>
      <c r="B236" t="s">
        <v>1914</v>
      </c>
      <c r="C236" t="s">
        <v>1923</v>
      </c>
      <c r="D236">
        <v>30</v>
      </c>
      <c r="E236" t="s">
        <v>1447</v>
      </c>
      <c r="F236" t="s">
        <v>1925</v>
      </c>
      <c r="G236" t="s">
        <v>1797</v>
      </c>
      <c r="H236" t="s">
        <v>1941</v>
      </c>
      <c r="I236" t="s">
        <v>1799</v>
      </c>
      <c r="J236" t="s">
        <v>1799</v>
      </c>
      <c r="K236" t="s">
        <v>1799</v>
      </c>
      <c r="L236" t="s">
        <v>1799</v>
      </c>
      <c r="M236" t="s">
        <v>1799</v>
      </c>
      <c r="N236" t="s">
        <v>1799</v>
      </c>
      <c r="O236" s="184" t="str">
        <f>"["&amp;$C236&amp;"]["&amp;$D236&amp;"]["&amp;$F236&amp;"]"</f>
        <v>[S05_DefaultValues][30][FuelMaterialType]</v>
      </c>
    </row>
    <row r="237" spans="1:15" x14ac:dyDescent="0.3">
      <c r="A237" t="s">
        <v>1793</v>
      </c>
      <c r="B237" t="s">
        <v>1914</v>
      </c>
      <c r="C237" t="s">
        <v>1923</v>
      </c>
      <c r="D237">
        <v>1</v>
      </c>
      <c r="E237" t="s">
        <v>1447</v>
      </c>
      <c r="F237" t="s">
        <v>1942</v>
      </c>
      <c r="G237" t="s">
        <v>1811</v>
      </c>
      <c r="H237" t="s">
        <v>1799</v>
      </c>
      <c r="I237">
        <v>3</v>
      </c>
      <c r="J237" t="s">
        <v>1799</v>
      </c>
      <c r="K237" t="s">
        <v>1799</v>
      </c>
      <c r="L237" t="s">
        <v>1799</v>
      </c>
      <c r="M237" t="s">
        <v>1799</v>
      </c>
      <c r="N237" t="s">
        <v>1799</v>
      </c>
      <c r="O237" s="184" t="str">
        <f>"["&amp;$C237&amp;"]["&amp;$D237&amp;"]["&amp;$F237&amp;"]"</f>
        <v>[S05_DefaultValues][1][InstallationNumber]</v>
      </c>
    </row>
    <row r="238" spans="1:15" x14ac:dyDescent="0.3">
      <c r="A238" t="s">
        <v>1793</v>
      </c>
      <c r="B238" t="s">
        <v>1914</v>
      </c>
      <c r="C238" t="s">
        <v>1923</v>
      </c>
      <c r="D238">
        <v>2</v>
      </c>
      <c r="E238" t="s">
        <v>1447</v>
      </c>
      <c r="F238" t="s">
        <v>1942</v>
      </c>
      <c r="G238" t="s">
        <v>1811</v>
      </c>
      <c r="H238" t="s">
        <v>1799</v>
      </c>
      <c r="I238">
        <v>3</v>
      </c>
      <c r="J238" t="s">
        <v>1799</v>
      </c>
      <c r="K238" t="s">
        <v>1799</v>
      </c>
      <c r="L238" t="s">
        <v>1799</v>
      </c>
      <c r="M238" t="s">
        <v>1799</v>
      </c>
      <c r="N238" t="s">
        <v>1799</v>
      </c>
      <c r="O238" s="184" t="str">
        <f>"["&amp;$C238&amp;"]["&amp;$D238&amp;"]["&amp;$F238&amp;"]"</f>
        <v>[S05_DefaultValues][2][InstallationNumber]</v>
      </c>
    </row>
    <row r="239" spans="1:15" x14ac:dyDescent="0.3">
      <c r="A239" t="s">
        <v>1793</v>
      </c>
      <c r="B239" t="s">
        <v>1914</v>
      </c>
      <c r="C239" t="s">
        <v>1923</v>
      </c>
      <c r="D239">
        <v>3</v>
      </c>
      <c r="E239" t="s">
        <v>1447</v>
      </c>
      <c r="F239" t="s">
        <v>1942</v>
      </c>
      <c r="G239" t="s">
        <v>1811</v>
      </c>
      <c r="H239" t="s">
        <v>1799</v>
      </c>
      <c r="I239">
        <v>2</v>
      </c>
      <c r="J239" t="s">
        <v>1799</v>
      </c>
      <c r="K239" t="s">
        <v>1799</v>
      </c>
      <c r="L239" t="s">
        <v>1799</v>
      </c>
      <c r="M239" t="s">
        <v>1799</v>
      </c>
      <c r="N239" t="s">
        <v>1799</v>
      </c>
      <c r="O239" s="184" t="str">
        <f>"["&amp;$C239&amp;"]["&amp;$D239&amp;"]["&amp;$F239&amp;"]"</f>
        <v>[S05_DefaultValues][3][InstallationNumber]</v>
      </c>
    </row>
    <row r="240" spans="1:15" x14ac:dyDescent="0.3">
      <c r="A240" t="s">
        <v>1793</v>
      </c>
      <c r="B240" t="s">
        <v>1914</v>
      </c>
      <c r="C240" t="s">
        <v>1923</v>
      </c>
      <c r="D240">
        <v>4</v>
      </c>
      <c r="E240" t="s">
        <v>1447</v>
      </c>
      <c r="F240" t="s">
        <v>1942</v>
      </c>
      <c r="G240" t="s">
        <v>1811</v>
      </c>
      <c r="H240" t="s">
        <v>1799</v>
      </c>
      <c r="I240">
        <v>2</v>
      </c>
      <c r="J240" t="s">
        <v>1799</v>
      </c>
      <c r="K240" t="s">
        <v>1799</v>
      </c>
      <c r="L240" t="s">
        <v>1799</v>
      </c>
      <c r="M240" t="s">
        <v>1799</v>
      </c>
      <c r="N240" t="s">
        <v>1799</v>
      </c>
      <c r="O240" s="184" t="str">
        <f>"["&amp;$C240&amp;"]["&amp;$D240&amp;"]["&amp;$F240&amp;"]"</f>
        <v>[S05_DefaultValues][4][InstallationNumber]</v>
      </c>
    </row>
    <row r="241" spans="1:15" x14ac:dyDescent="0.3">
      <c r="A241" t="s">
        <v>1793</v>
      </c>
      <c r="B241" t="s">
        <v>1914</v>
      </c>
      <c r="C241" t="s">
        <v>1923</v>
      </c>
      <c r="D241">
        <v>5</v>
      </c>
      <c r="E241" t="s">
        <v>1447</v>
      </c>
      <c r="F241" t="s">
        <v>1942</v>
      </c>
      <c r="G241" t="s">
        <v>1811</v>
      </c>
      <c r="H241" t="s">
        <v>1799</v>
      </c>
      <c r="I241">
        <v>2</v>
      </c>
      <c r="J241" t="s">
        <v>1799</v>
      </c>
      <c r="K241" t="s">
        <v>1799</v>
      </c>
      <c r="L241" t="s">
        <v>1799</v>
      </c>
      <c r="M241" t="s">
        <v>1799</v>
      </c>
      <c r="N241" t="s">
        <v>1799</v>
      </c>
      <c r="O241" s="184" t="str">
        <f>"["&amp;$C241&amp;"]["&amp;$D241&amp;"]["&amp;$F241&amp;"]"</f>
        <v>[S05_DefaultValues][5][InstallationNumber]</v>
      </c>
    </row>
    <row r="242" spans="1:15" x14ac:dyDescent="0.3">
      <c r="A242" t="s">
        <v>1793</v>
      </c>
      <c r="B242" t="s">
        <v>1914</v>
      </c>
      <c r="C242" t="s">
        <v>1923</v>
      </c>
      <c r="D242">
        <v>6</v>
      </c>
      <c r="E242" t="s">
        <v>1447</v>
      </c>
      <c r="F242" t="s">
        <v>1942</v>
      </c>
      <c r="G242" t="s">
        <v>1811</v>
      </c>
      <c r="H242" t="s">
        <v>1799</v>
      </c>
      <c r="I242">
        <v>2</v>
      </c>
      <c r="J242" t="s">
        <v>1799</v>
      </c>
      <c r="K242" t="s">
        <v>1799</v>
      </c>
      <c r="L242" t="s">
        <v>1799</v>
      </c>
      <c r="M242" t="s">
        <v>1799</v>
      </c>
      <c r="N242" t="s">
        <v>1799</v>
      </c>
      <c r="O242" s="184" t="str">
        <f>"["&amp;$C242&amp;"]["&amp;$D242&amp;"]["&amp;$F242&amp;"]"</f>
        <v>[S05_DefaultValues][6][InstallationNumber]</v>
      </c>
    </row>
    <row r="243" spans="1:15" x14ac:dyDescent="0.3">
      <c r="A243" t="s">
        <v>1793</v>
      </c>
      <c r="B243" t="s">
        <v>1914</v>
      </c>
      <c r="C243" t="s">
        <v>1923</v>
      </c>
      <c r="D243">
        <v>7</v>
      </c>
      <c r="E243" t="s">
        <v>1447</v>
      </c>
      <c r="F243" t="s">
        <v>1942</v>
      </c>
      <c r="G243" t="s">
        <v>1811</v>
      </c>
      <c r="H243" t="s">
        <v>1799</v>
      </c>
      <c r="I243">
        <v>2</v>
      </c>
      <c r="J243" t="s">
        <v>1799</v>
      </c>
      <c r="K243" t="s">
        <v>1799</v>
      </c>
      <c r="L243" t="s">
        <v>1799</v>
      </c>
      <c r="M243" t="s">
        <v>1799</v>
      </c>
      <c r="N243" t="s">
        <v>1799</v>
      </c>
      <c r="O243" s="184" t="str">
        <f>"["&amp;$C243&amp;"]["&amp;$D243&amp;"]["&amp;$F243&amp;"]"</f>
        <v>[S05_DefaultValues][7][InstallationNumber]</v>
      </c>
    </row>
    <row r="244" spans="1:15" x14ac:dyDescent="0.3">
      <c r="A244" t="s">
        <v>1793</v>
      </c>
      <c r="B244" t="s">
        <v>1914</v>
      </c>
      <c r="C244" t="s">
        <v>1923</v>
      </c>
      <c r="D244">
        <v>8</v>
      </c>
      <c r="E244" t="s">
        <v>1447</v>
      </c>
      <c r="F244" t="s">
        <v>1942</v>
      </c>
      <c r="G244" t="s">
        <v>1811</v>
      </c>
      <c r="H244" t="s">
        <v>1799</v>
      </c>
      <c r="I244">
        <v>1</v>
      </c>
      <c r="J244" t="s">
        <v>1799</v>
      </c>
      <c r="K244" t="s">
        <v>1799</v>
      </c>
      <c r="L244" t="s">
        <v>1799</v>
      </c>
      <c r="M244" t="s">
        <v>1799</v>
      </c>
      <c r="N244" t="s">
        <v>1799</v>
      </c>
      <c r="O244" s="184" t="str">
        <f>"["&amp;$C244&amp;"]["&amp;$D244&amp;"]["&amp;$F244&amp;"]"</f>
        <v>[S05_DefaultValues][8][InstallationNumber]</v>
      </c>
    </row>
    <row r="245" spans="1:15" x14ac:dyDescent="0.3">
      <c r="A245" t="s">
        <v>1793</v>
      </c>
      <c r="B245" t="s">
        <v>1914</v>
      </c>
      <c r="C245" t="s">
        <v>1923</v>
      </c>
      <c r="D245">
        <v>9</v>
      </c>
      <c r="E245" t="s">
        <v>1447</v>
      </c>
      <c r="F245" t="s">
        <v>1942</v>
      </c>
      <c r="G245" t="s">
        <v>1811</v>
      </c>
      <c r="H245" t="s">
        <v>1799</v>
      </c>
      <c r="I245">
        <v>21</v>
      </c>
      <c r="J245" t="s">
        <v>1799</v>
      </c>
      <c r="K245" t="s">
        <v>1799</v>
      </c>
      <c r="L245" t="s">
        <v>1799</v>
      </c>
      <c r="M245" t="s">
        <v>1799</v>
      </c>
      <c r="N245" t="s">
        <v>1799</v>
      </c>
      <c r="O245" s="184" t="str">
        <f>"["&amp;$C245&amp;"]["&amp;$D245&amp;"]["&amp;$F245&amp;"]"</f>
        <v>[S05_DefaultValues][9][InstallationNumber]</v>
      </c>
    </row>
    <row r="246" spans="1:15" x14ac:dyDescent="0.3">
      <c r="A246" t="s">
        <v>1793</v>
      </c>
      <c r="B246" t="s">
        <v>1914</v>
      </c>
      <c r="C246" t="s">
        <v>1923</v>
      </c>
      <c r="D246">
        <v>10</v>
      </c>
      <c r="E246" t="s">
        <v>1447</v>
      </c>
      <c r="F246" t="s">
        <v>1942</v>
      </c>
      <c r="G246" t="s">
        <v>1811</v>
      </c>
      <c r="H246" t="s">
        <v>1799</v>
      </c>
      <c r="I246">
        <v>6</v>
      </c>
      <c r="J246" t="s">
        <v>1799</v>
      </c>
      <c r="K246" t="s">
        <v>1799</v>
      </c>
      <c r="L246" t="s">
        <v>1799</v>
      </c>
      <c r="M246" t="s">
        <v>1799</v>
      </c>
      <c r="N246" t="s">
        <v>1799</v>
      </c>
      <c r="O246" s="184" t="str">
        <f>"["&amp;$C246&amp;"]["&amp;$D246&amp;"]["&amp;$F246&amp;"]"</f>
        <v>[S05_DefaultValues][10][InstallationNumber]</v>
      </c>
    </row>
    <row r="247" spans="1:15" x14ac:dyDescent="0.3">
      <c r="A247" t="s">
        <v>1793</v>
      </c>
      <c r="B247" t="s">
        <v>1914</v>
      </c>
      <c r="C247" t="s">
        <v>1923</v>
      </c>
      <c r="D247">
        <v>11</v>
      </c>
      <c r="E247" t="s">
        <v>1447</v>
      </c>
      <c r="F247" t="s">
        <v>1942</v>
      </c>
      <c r="G247" t="s">
        <v>1811</v>
      </c>
      <c r="H247" t="s">
        <v>1799</v>
      </c>
      <c r="I247">
        <v>5</v>
      </c>
      <c r="J247" t="s">
        <v>1799</v>
      </c>
      <c r="K247" t="s">
        <v>1799</v>
      </c>
      <c r="L247" t="s">
        <v>1799</v>
      </c>
      <c r="M247" t="s">
        <v>1799</v>
      </c>
      <c r="N247" t="s">
        <v>1799</v>
      </c>
      <c r="O247" s="184" t="str">
        <f>"["&amp;$C247&amp;"]["&amp;$D247&amp;"]["&amp;$F247&amp;"]"</f>
        <v>[S05_DefaultValues][11][InstallationNumber]</v>
      </c>
    </row>
    <row r="248" spans="1:15" x14ac:dyDescent="0.3">
      <c r="A248" t="s">
        <v>1793</v>
      </c>
      <c r="B248" t="s">
        <v>1914</v>
      </c>
      <c r="C248" t="s">
        <v>1923</v>
      </c>
      <c r="D248">
        <v>12</v>
      </c>
      <c r="E248" t="s">
        <v>1447</v>
      </c>
      <c r="F248" t="s">
        <v>1942</v>
      </c>
      <c r="G248" t="s">
        <v>1811</v>
      </c>
      <c r="H248" t="s">
        <v>1799</v>
      </c>
      <c r="I248">
        <v>14</v>
      </c>
      <c r="J248" t="s">
        <v>1799</v>
      </c>
      <c r="K248" t="s">
        <v>1799</v>
      </c>
      <c r="L248" t="s">
        <v>1799</v>
      </c>
      <c r="M248" t="s">
        <v>1799</v>
      </c>
      <c r="N248" t="s">
        <v>1799</v>
      </c>
      <c r="O248" s="184" t="str">
        <f>"["&amp;$C248&amp;"]["&amp;$D248&amp;"]["&amp;$F248&amp;"]"</f>
        <v>[S05_DefaultValues][12][InstallationNumber]</v>
      </c>
    </row>
    <row r="249" spans="1:15" x14ac:dyDescent="0.3">
      <c r="A249" t="s">
        <v>1793</v>
      </c>
      <c r="B249" t="s">
        <v>1914</v>
      </c>
      <c r="C249" t="s">
        <v>1923</v>
      </c>
      <c r="D249">
        <v>13</v>
      </c>
      <c r="E249" t="s">
        <v>1447</v>
      </c>
      <c r="F249" t="s">
        <v>1942</v>
      </c>
      <c r="G249" t="s">
        <v>1811</v>
      </c>
      <c r="H249" t="s">
        <v>1799</v>
      </c>
      <c r="I249">
        <v>6</v>
      </c>
      <c r="J249" t="s">
        <v>1799</v>
      </c>
      <c r="K249" t="s">
        <v>1799</v>
      </c>
      <c r="L249" t="s">
        <v>1799</v>
      </c>
      <c r="M249" t="s">
        <v>1799</v>
      </c>
      <c r="N249" t="s">
        <v>1799</v>
      </c>
      <c r="O249" s="184" t="str">
        <f>"["&amp;$C249&amp;"]["&amp;$D249&amp;"]["&amp;$F249&amp;"]"</f>
        <v>[S05_DefaultValues][13][InstallationNumber]</v>
      </c>
    </row>
    <row r="250" spans="1:15" x14ac:dyDescent="0.3">
      <c r="A250" t="s">
        <v>1793</v>
      </c>
      <c r="B250" t="s">
        <v>1914</v>
      </c>
      <c r="C250" t="s">
        <v>1923</v>
      </c>
      <c r="D250">
        <v>14</v>
      </c>
      <c r="E250" t="s">
        <v>1447</v>
      </c>
      <c r="F250" t="s">
        <v>1942</v>
      </c>
      <c r="G250" t="s">
        <v>1811</v>
      </c>
      <c r="H250" t="s">
        <v>1799</v>
      </c>
      <c r="I250">
        <v>1</v>
      </c>
      <c r="J250" t="s">
        <v>1799</v>
      </c>
      <c r="K250" t="s">
        <v>1799</v>
      </c>
      <c r="L250" t="s">
        <v>1799</v>
      </c>
      <c r="M250" t="s">
        <v>1799</v>
      </c>
      <c r="N250" t="s">
        <v>1799</v>
      </c>
      <c r="O250" s="184" t="str">
        <f>"["&amp;$C250&amp;"]["&amp;$D250&amp;"]["&amp;$F250&amp;"]"</f>
        <v>[S05_DefaultValues][14][InstallationNumber]</v>
      </c>
    </row>
    <row r="251" spans="1:15" x14ac:dyDescent="0.3">
      <c r="A251" t="s">
        <v>1793</v>
      </c>
      <c r="B251" t="s">
        <v>1914</v>
      </c>
      <c r="C251" t="s">
        <v>1923</v>
      </c>
      <c r="D251">
        <v>15</v>
      </c>
      <c r="E251" t="s">
        <v>1447</v>
      </c>
      <c r="F251" t="s">
        <v>1942</v>
      </c>
      <c r="G251" t="s">
        <v>1811</v>
      </c>
      <c r="H251" t="s">
        <v>1799</v>
      </c>
      <c r="I251">
        <v>1</v>
      </c>
      <c r="J251" t="s">
        <v>1799</v>
      </c>
      <c r="K251" t="s">
        <v>1799</v>
      </c>
      <c r="L251" t="s">
        <v>1799</v>
      </c>
      <c r="M251" t="s">
        <v>1799</v>
      </c>
      <c r="N251" t="s">
        <v>1799</v>
      </c>
      <c r="O251" s="184" t="str">
        <f>"["&amp;$C251&amp;"]["&amp;$D251&amp;"]["&amp;$F251&amp;"]"</f>
        <v>[S05_DefaultValues][15][InstallationNumber]</v>
      </c>
    </row>
    <row r="252" spans="1:15" x14ac:dyDescent="0.3">
      <c r="A252" t="s">
        <v>1793</v>
      </c>
      <c r="B252" t="s">
        <v>1914</v>
      </c>
      <c r="C252" t="s">
        <v>1923</v>
      </c>
      <c r="D252">
        <v>16</v>
      </c>
      <c r="E252" t="s">
        <v>1447</v>
      </c>
      <c r="F252" t="s">
        <v>1942</v>
      </c>
      <c r="G252" t="s">
        <v>1811</v>
      </c>
      <c r="H252" t="s">
        <v>1799</v>
      </c>
      <c r="I252">
        <v>1</v>
      </c>
      <c r="J252" t="s">
        <v>1799</v>
      </c>
      <c r="K252" t="s">
        <v>1799</v>
      </c>
      <c r="L252" t="s">
        <v>1799</v>
      </c>
      <c r="M252" t="s">
        <v>1799</v>
      </c>
      <c r="N252" t="s">
        <v>1799</v>
      </c>
      <c r="O252" s="184" t="str">
        <f>"["&amp;$C252&amp;"]["&amp;$D252&amp;"]["&amp;$F252&amp;"]"</f>
        <v>[S05_DefaultValues][16][InstallationNumber]</v>
      </c>
    </row>
    <row r="253" spans="1:15" x14ac:dyDescent="0.3">
      <c r="A253" t="s">
        <v>1793</v>
      </c>
      <c r="B253" t="s">
        <v>1914</v>
      </c>
      <c r="C253" t="s">
        <v>1923</v>
      </c>
      <c r="D253">
        <v>17</v>
      </c>
      <c r="E253" t="s">
        <v>1447</v>
      </c>
      <c r="F253" t="s">
        <v>1942</v>
      </c>
      <c r="G253" t="s">
        <v>1811</v>
      </c>
      <c r="H253" t="s">
        <v>1799</v>
      </c>
      <c r="I253">
        <v>1</v>
      </c>
      <c r="J253" t="s">
        <v>1799</v>
      </c>
      <c r="K253" t="s">
        <v>1799</v>
      </c>
      <c r="L253" t="s">
        <v>1799</v>
      </c>
      <c r="M253" t="s">
        <v>1799</v>
      </c>
      <c r="N253" t="s">
        <v>1799</v>
      </c>
      <c r="O253" s="184" t="str">
        <f>"["&amp;$C253&amp;"]["&amp;$D253&amp;"]["&amp;$F253&amp;"]"</f>
        <v>[S05_DefaultValues][17][InstallationNumber]</v>
      </c>
    </row>
    <row r="254" spans="1:15" x14ac:dyDescent="0.3">
      <c r="A254" t="s">
        <v>1793</v>
      </c>
      <c r="B254" t="s">
        <v>1914</v>
      </c>
      <c r="C254" t="s">
        <v>1923</v>
      </c>
      <c r="D254">
        <v>18</v>
      </c>
      <c r="E254" t="s">
        <v>1447</v>
      </c>
      <c r="F254" t="s">
        <v>1942</v>
      </c>
      <c r="G254" t="s">
        <v>1811</v>
      </c>
      <c r="H254" t="s">
        <v>1799</v>
      </c>
      <c r="I254">
        <v>1</v>
      </c>
      <c r="J254" t="s">
        <v>1799</v>
      </c>
      <c r="K254" t="s">
        <v>1799</v>
      </c>
      <c r="L254" t="s">
        <v>1799</v>
      </c>
      <c r="M254" t="s">
        <v>1799</v>
      </c>
      <c r="N254" t="s">
        <v>1799</v>
      </c>
      <c r="O254" s="184" t="str">
        <f>"["&amp;$C254&amp;"]["&amp;$D254&amp;"]["&amp;$F254&amp;"]"</f>
        <v>[S05_DefaultValues][18][InstallationNumber]</v>
      </c>
    </row>
    <row r="255" spans="1:15" x14ac:dyDescent="0.3">
      <c r="A255" t="s">
        <v>1793</v>
      </c>
      <c r="B255" t="s">
        <v>1914</v>
      </c>
      <c r="C255" t="s">
        <v>1923</v>
      </c>
      <c r="D255">
        <v>19</v>
      </c>
      <c r="E255" t="s">
        <v>1447</v>
      </c>
      <c r="F255" t="s">
        <v>1942</v>
      </c>
      <c r="G255" t="s">
        <v>1811</v>
      </c>
      <c r="H255" t="s">
        <v>1799</v>
      </c>
      <c r="I255">
        <v>1</v>
      </c>
      <c r="J255" t="s">
        <v>1799</v>
      </c>
      <c r="K255" t="s">
        <v>1799</v>
      </c>
      <c r="L255" t="s">
        <v>1799</v>
      </c>
      <c r="M255" t="s">
        <v>1799</v>
      </c>
      <c r="N255" t="s">
        <v>1799</v>
      </c>
      <c r="O255" s="184" t="str">
        <f>"["&amp;$C255&amp;"]["&amp;$D255&amp;"]["&amp;$F255&amp;"]"</f>
        <v>[S05_DefaultValues][19][InstallationNumber]</v>
      </c>
    </row>
    <row r="256" spans="1:15" x14ac:dyDescent="0.3">
      <c r="A256" t="s">
        <v>1793</v>
      </c>
      <c r="B256" t="s">
        <v>1914</v>
      </c>
      <c r="C256" t="s">
        <v>1923</v>
      </c>
      <c r="D256">
        <v>20</v>
      </c>
      <c r="E256" t="s">
        <v>1447</v>
      </c>
      <c r="F256" t="s">
        <v>1942</v>
      </c>
      <c r="G256" t="s">
        <v>1811</v>
      </c>
      <c r="H256" t="s">
        <v>1799</v>
      </c>
      <c r="I256">
        <v>1</v>
      </c>
      <c r="J256" t="s">
        <v>1799</v>
      </c>
      <c r="K256" t="s">
        <v>1799</v>
      </c>
      <c r="L256" t="s">
        <v>1799</v>
      </c>
      <c r="M256" t="s">
        <v>1799</v>
      </c>
      <c r="N256" t="s">
        <v>1799</v>
      </c>
      <c r="O256" s="184" t="str">
        <f>"["&amp;$C256&amp;"]["&amp;$D256&amp;"]["&amp;$F256&amp;"]"</f>
        <v>[S05_DefaultValues][20][InstallationNumber]</v>
      </c>
    </row>
    <row r="257" spans="1:15" x14ac:dyDescent="0.3">
      <c r="A257" t="s">
        <v>1793</v>
      </c>
      <c r="B257" t="s">
        <v>1914</v>
      </c>
      <c r="C257" t="s">
        <v>1923</v>
      </c>
      <c r="D257">
        <v>21</v>
      </c>
      <c r="E257" t="s">
        <v>1447</v>
      </c>
      <c r="F257" t="s">
        <v>1942</v>
      </c>
      <c r="G257" t="s">
        <v>1811</v>
      </c>
      <c r="H257" t="s">
        <v>1799</v>
      </c>
      <c r="I257">
        <v>1</v>
      </c>
      <c r="J257" t="s">
        <v>1799</v>
      </c>
      <c r="K257" t="s">
        <v>1799</v>
      </c>
      <c r="L257" t="s">
        <v>1799</v>
      </c>
      <c r="M257" t="s">
        <v>1799</v>
      </c>
      <c r="N257" t="s">
        <v>1799</v>
      </c>
      <c r="O257" s="184" t="str">
        <f>"["&amp;$C257&amp;"]["&amp;$D257&amp;"]["&amp;$F257&amp;"]"</f>
        <v>[S05_DefaultValues][21][InstallationNumber]</v>
      </c>
    </row>
    <row r="258" spans="1:15" x14ac:dyDescent="0.3">
      <c r="A258" t="s">
        <v>1793</v>
      </c>
      <c r="B258" t="s">
        <v>1914</v>
      </c>
      <c r="C258" t="s">
        <v>1923</v>
      </c>
      <c r="D258">
        <v>22</v>
      </c>
      <c r="E258" t="s">
        <v>1447</v>
      </c>
      <c r="F258" t="s">
        <v>1942</v>
      </c>
      <c r="G258" t="s">
        <v>1811</v>
      </c>
      <c r="H258" t="s">
        <v>1799</v>
      </c>
      <c r="I258">
        <v>7</v>
      </c>
      <c r="J258" t="s">
        <v>1799</v>
      </c>
      <c r="K258" t="s">
        <v>1799</v>
      </c>
      <c r="L258" t="s">
        <v>1799</v>
      </c>
      <c r="M258" t="s">
        <v>1799</v>
      </c>
      <c r="N258" t="s">
        <v>1799</v>
      </c>
      <c r="O258" s="184" t="str">
        <f>"["&amp;$C258&amp;"]["&amp;$D258&amp;"]["&amp;$F258&amp;"]"</f>
        <v>[S05_DefaultValues][22][InstallationNumber]</v>
      </c>
    </row>
    <row r="259" spans="1:15" x14ac:dyDescent="0.3">
      <c r="A259" t="s">
        <v>1793</v>
      </c>
      <c r="B259" t="s">
        <v>1914</v>
      </c>
      <c r="C259" t="s">
        <v>1923</v>
      </c>
      <c r="D259">
        <v>23</v>
      </c>
      <c r="E259" t="s">
        <v>1447</v>
      </c>
      <c r="F259" t="s">
        <v>1942</v>
      </c>
      <c r="G259" t="s">
        <v>1811</v>
      </c>
      <c r="H259" t="s">
        <v>1799</v>
      </c>
      <c r="I259">
        <v>2</v>
      </c>
      <c r="J259" t="s">
        <v>1799</v>
      </c>
      <c r="K259" t="s">
        <v>1799</v>
      </c>
      <c r="L259" t="s">
        <v>1799</v>
      </c>
      <c r="M259" t="s">
        <v>1799</v>
      </c>
      <c r="N259" t="s">
        <v>1799</v>
      </c>
      <c r="O259" s="184" t="str">
        <f>"["&amp;$C259&amp;"]["&amp;$D259&amp;"]["&amp;$F259&amp;"]"</f>
        <v>[S05_DefaultValues][23][InstallationNumber]</v>
      </c>
    </row>
    <row r="260" spans="1:15" x14ac:dyDescent="0.3">
      <c r="A260" t="s">
        <v>1793</v>
      </c>
      <c r="B260" t="s">
        <v>1914</v>
      </c>
      <c r="C260" t="s">
        <v>1923</v>
      </c>
      <c r="D260">
        <v>24</v>
      </c>
      <c r="E260" t="s">
        <v>1447</v>
      </c>
      <c r="F260" t="s">
        <v>1942</v>
      </c>
      <c r="G260" t="s">
        <v>1811</v>
      </c>
      <c r="H260" t="s">
        <v>1799</v>
      </c>
      <c r="I260">
        <v>1</v>
      </c>
      <c r="J260" t="s">
        <v>1799</v>
      </c>
      <c r="K260" t="s">
        <v>1799</v>
      </c>
      <c r="L260" t="s">
        <v>1799</v>
      </c>
      <c r="M260" t="s">
        <v>1799</v>
      </c>
      <c r="N260" t="s">
        <v>1799</v>
      </c>
      <c r="O260" s="184" t="str">
        <f>"["&amp;$C260&amp;"]["&amp;$D260&amp;"]["&amp;$F260&amp;"]"</f>
        <v>[S05_DefaultValues][24][InstallationNumber]</v>
      </c>
    </row>
    <row r="261" spans="1:15" x14ac:dyDescent="0.3">
      <c r="A261" t="s">
        <v>1793</v>
      </c>
      <c r="B261" t="s">
        <v>1914</v>
      </c>
      <c r="C261" t="s">
        <v>1923</v>
      </c>
      <c r="D261">
        <v>25</v>
      </c>
      <c r="E261" t="s">
        <v>1447</v>
      </c>
      <c r="F261" t="s">
        <v>1942</v>
      </c>
      <c r="G261" t="s">
        <v>1811</v>
      </c>
      <c r="H261" t="s">
        <v>1799</v>
      </c>
      <c r="I261">
        <v>2</v>
      </c>
      <c r="J261" t="s">
        <v>1799</v>
      </c>
      <c r="K261" t="s">
        <v>1799</v>
      </c>
      <c r="L261" t="s">
        <v>1799</v>
      </c>
      <c r="M261" t="s">
        <v>1799</v>
      </c>
      <c r="N261" t="s">
        <v>1799</v>
      </c>
      <c r="O261" s="184" t="str">
        <f>"["&amp;$C261&amp;"]["&amp;$D261&amp;"]["&amp;$F261&amp;"]"</f>
        <v>[S05_DefaultValues][25][InstallationNumber]</v>
      </c>
    </row>
    <row r="262" spans="1:15" x14ac:dyDescent="0.3">
      <c r="A262" t="s">
        <v>1793</v>
      </c>
      <c r="B262" t="s">
        <v>1914</v>
      </c>
      <c r="C262" t="s">
        <v>1923</v>
      </c>
      <c r="D262">
        <v>26</v>
      </c>
      <c r="E262" t="s">
        <v>1447</v>
      </c>
      <c r="F262" t="s">
        <v>1942</v>
      </c>
      <c r="G262" t="s">
        <v>1811</v>
      </c>
      <c r="H262" t="s">
        <v>1799</v>
      </c>
      <c r="I262">
        <v>1</v>
      </c>
      <c r="J262" t="s">
        <v>1799</v>
      </c>
      <c r="K262" t="s">
        <v>1799</v>
      </c>
      <c r="L262" t="s">
        <v>1799</v>
      </c>
      <c r="M262" t="s">
        <v>1799</v>
      </c>
      <c r="N262" t="s">
        <v>1799</v>
      </c>
      <c r="O262" s="184" t="str">
        <f>"["&amp;$C262&amp;"]["&amp;$D262&amp;"]["&amp;$F262&amp;"]"</f>
        <v>[S05_DefaultValues][26][InstallationNumber]</v>
      </c>
    </row>
    <row r="263" spans="1:15" x14ac:dyDescent="0.3">
      <c r="A263" t="s">
        <v>1793</v>
      </c>
      <c r="B263" t="s">
        <v>1914</v>
      </c>
      <c r="C263" t="s">
        <v>1923</v>
      </c>
      <c r="D263">
        <v>27</v>
      </c>
      <c r="E263" t="s">
        <v>1447</v>
      </c>
      <c r="F263" t="s">
        <v>1942</v>
      </c>
      <c r="G263" t="s">
        <v>1811</v>
      </c>
      <c r="H263" t="s">
        <v>1799</v>
      </c>
      <c r="I263">
        <v>2</v>
      </c>
      <c r="J263" t="s">
        <v>1799</v>
      </c>
      <c r="K263" t="s">
        <v>1799</v>
      </c>
      <c r="L263" t="s">
        <v>1799</v>
      </c>
      <c r="M263" t="s">
        <v>1799</v>
      </c>
      <c r="N263" t="s">
        <v>1799</v>
      </c>
      <c r="O263" s="184" t="str">
        <f>"["&amp;$C263&amp;"]["&amp;$D263&amp;"]["&amp;$F263&amp;"]"</f>
        <v>[S05_DefaultValues][27][InstallationNumber]</v>
      </c>
    </row>
    <row r="264" spans="1:15" x14ac:dyDescent="0.3">
      <c r="A264" t="s">
        <v>1793</v>
      </c>
      <c r="B264" t="s">
        <v>1914</v>
      </c>
      <c r="C264" t="s">
        <v>1923</v>
      </c>
      <c r="D264">
        <v>28</v>
      </c>
      <c r="E264" t="s">
        <v>1447</v>
      </c>
      <c r="F264" t="s">
        <v>1942</v>
      </c>
      <c r="G264" t="s">
        <v>1811</v>
      </c>
      <c r="H264" t="s">
        <v>1799</v>
      </c>
      <c r="I264">
        <v>1</v>
      </c>
      <c r="J264" t="s">
        <v>1799</v>
      </c>
      <c r="K264" t="s">
        <v>1799</v>
      </c>
      <c r="L264" t="s">
        <v>1799</v>
      </c>
      <c r="M264" t="s">
        <v>1799</v>
      </c>
      <c r="N264" t="s">
        <v>1799</v>
      </c>
      <c r="O264" s="184" t="str">
        <f>"["&amp;$C264&amp;"]["&amp;$D264&amp;"]["&amp;$F264&amp;"]"</f>
        <v>[S05_DefaultValues][28][InstallationNumber]</v>
      </c>
    </row>
    <row r="265" spans="1:15" x14ac:dyDescent="0.3">
      <c r="A265" t="s">
        <v>1793</v>
      </c>
      <c r="B265" t="s">
        <v>1914</v>
      </c>
      <c r="C265" t="s">
        <v>1923</v>
      </c>
      <c r="D265">
        <v>29</v>
      </c>
      <c r="E265" t="s">
        <v>1447</v>
      </c>
      <c r="F265" t="s">
        <v>1942</v>
      </c>
      <c r="G265" t="s">
        <v>1811</v>
      </c>
      <c r="H265" t="s">
        <v>1799</v>
      </c>
      <c r="I265">
        <v>1</v>
      </c>
      <c r="J265" t="s">
        <v>1799</v>
      </c>
      <c r="K265" t="s">
        <v>1799</v>
      </c>
      <c r="L265" t="s">
        <v>1799</v>
      </c>
      <c r="M265" t="s">
        <v>1799</v>
      </c>
      <c r="N265" t="s">
        <v>1799</v>
      </c>
      <c r="O265" s="184" t="str">
        <f>"["&amp;$C265&amp;"]["&amp;$D265&amp;"]["&amp;$F265&amp;"]"</f>
        <v>[S05_DefaultValues][29][InstallationNumber]</v>
      </c>
    </row>
    <row r="266" spans="1:15" x14ac:dyDescent="0.3">
      <c r="A266" t="s">
        <v>1793</v>
      </c>
      <c r="B266" t="s">
        <v>1914</v>
      </c>
      <c r="C266" t="s">
        <v>1923</v>
      </c>
      <c r="D266">
        <v>30</v>
      </c>
      <c r="E266" t="s">
        <v>1447</v>
      </c>
      <c r="F266" t="s">
        <v>1942</v>
      </c>
      <c r="G266" t="s">
        <v>1811</v>
      </c>
      <c r="H266" t="s">
        <v>1799</v>
      </c>
      <c r="I266">
        <v>1</v>
      </c>
      <c r="J266" t="s">
        <v>1799</v>
      </c>
      <c r="K266" t="s">
        <v>1799</v>
      </c>
      <c r="L266" t="s">
        <v>1799</v>
      </c>
      <c r="M266" t="s">
        <v>1799</v>
      </c>
      <c r="N266" t="s">
        <v>1799</v>
      </c>
      <c r="O266" s="184" t="str">
        <f>"["&amp;$C266&amp;"]["&amp;$D266&amp;"]["&amp;$F266&amp;"]"</f>
        <v>[S05_DefaultValues][30][InstallationNumber]</v>
      </c>
    </row>
    <row r="267" spans="1:15" x14ac:dyDescent="0.3">
      <c r="A267" t="s">
        <v>1793</v>
      </c>
      <c r="B267" t="s">
        <v>1943</v>
      </c>
      <c r="C267" t="s">
        <v>1944</v>
      </c>
      <c r="D267">
        <v>1</v>
      </c>
      <c r="E267" t="s">
        <v>1447</v>
      </c>
      <c r="F267" t="s">
        <v>1945</v>
      </c>
      <c r="G267" t="s">
        <v>1797</v>
      </c>
      <c r="H267" t="s">
        <v>1946</v>
      </c>
      <c r="I267" t="s">
        <v>1799</v>
      </c>
      <c r="J267" t="s">
        <v>1799</v>
      </c>
      <c r="K267" t="s">
        <v>1799</v>
      </c>
      <c r="L267" t="s">
        <v>1799</v>
      </c>
      <c r="M267" t="s">
        <v>1799</v>
      </c>
      <c r="N267" t="s">
        <v>1799</v>
      </c>
      <c r="O267" s="184" t="str">
        <f>"["&amp;$C267&amp;"]["&amp;$D267&amp;"]["&amp;$F267&amp;"]"</f>
        <v>[S05_InstallationDifferentSamplingFrequency][1][SamplingFuelMaterial]</v>
      </c>
    </row>
    <row r="268" spans="1:15" x14ac:dyDescent="0.3">
      <c r="A268" t="s">
        <v>1793</v>
      </c>
      <c r="B268" t="s">
        <v>1943</v>
      </c>
      <c r="C268" t="s">
        <v>1944</v>
      </c>
      <c r="D268">
        <v>2</v>
      </c>
      <c r="E268" t="s">
        <v>1447</v>
      </c>
      <c r="F268" t="s">
        <v>1945</v>
      </c>
      <c r="G268" t="s">
        <v>1797</v>
      </c>
      <c r="H268" t="s">
        <v>1947</v>
      </c>
      <c r="I268" t="s">
        <v>1799</v>
      </c>
      <c r="J268" t="s">
        <v>1799</v>
      </c>
      <c r="K268" t="s">
        <v>1799</v>
      </c>
      <c r="L268" t="s">
        <v>1799</v>
      </c>
      <c r="M268" t="s">
        <v>1799</v>
      </c>
      <c r="N268" t="s">
        <v>1799</v>
      </c>
      <c r="O268" s="184" t="str">
        <f>"["&amp;$C268&amp;"]["&amp;$D268&amp;"]["&amp;$F268&amp;"]"</f>
        <v>[S05_InstallationDifferentSamplingFrequency][2][SamplingFuelMaterial]</v>
      </c>
    </row>
    <row r="269" spans="1:15" x14ac:dyDescent="0.3">
      <c r="A269" t="s">
        <v>1793</v>
      </c>
      <c r="B269" t="s">
        <v>1943</v>
      </c>
      <c r="C269" t="s">
        <v>1944</v>
      </c>
      <c r="D269">
        <v>1</v>
      </c>
      <c r="E269" t="s">
        <v>1447</v>
      </c>
      <c r="F269" t="s">
        <v>1948</v>
      </c>
      <c r="G269" t="s">
        <v>1811</v>
      </c>
      <c r="H269" t="s">
        <v>1799</v>
      </c>
      <c r="I269">
        <v>1</v>
      </c>
      <c r="J269" t="s">
        <v>1799</v>
      </c>
      <c r="K269" t="s">
        <v>1799</v>
      </c>
      <c r="L269" t="s">
        <v>1799</v>
      </c>
      <c r="M269" t="s">
        <v>1799</v>
      </c>
      <c r="N269" t="s">
        <v>1799</v>
      </c>
      <c r="O269" s="184" t="str">
        <f>"["&amp;$C269&amp;"]["&amp;$D269&amp;"]["&amp;$F269&amp;"]"</f>
        <v>[S05_InstallationDifferentSamplingFrequency][1][CountInstallationsDiffFrequency]</v>
      </c>
    </row>
    <row r="270" spans="1:15" x14ac:dyDescent="0.3">
      <c r="A270" t="s">
        <v>1793</v>
      </c>
      <c r="B270" t="s">
        <v>1943</v>
      </c>
      <c r="C270" t="s">
        <v>1944</v>
      </c>
      <c r="D270">
        <v>2</v>
      </c>
      <c r="E270" t="s">
        <v>1447</v>
      </c>
      <c r="F270" t="s">
        <v>1948</v>
      </c>
      <c r="G270" t="s">
        <v>1811</v>
      </c>
      <c r="H270" t="s">
        <v>1799</v>
      </c>
      <c r="I270">
        <v>1</v>
      </c>
      <c r="J270" t="s">
        <v>1799</v>
      </c>
      <c r="K270" t="s">
        <v>1799</v>
      </c>
      <c r="L270" t="s">
        <v>1799</v>
      </c>
      <c r="M270" t="s">
        <v>1799</v>
      </c>
      <c r="N270" t="s">
        <v>1799</v>
      </c>
      <c r="O270" s="184" t="str">
        <f>"["&amp;$C270&amp;"]["&amp;$D270&amp;"]["&amp;$F270&amp;"]"</f>
        <v>[S05_InstallationDifferentSamplingFrequency][2][CountInstallationsDiffFrequency]</v>
      </c>
    </row>
    <row r="271" spans="1:15" x14ac:dyDescent="0.3">
      <c r="A271" t="s">
        <v>1793</v>
      </c>
      <c r="B271" t="s">
        <v>1943</v>
      </c>
      <c r="C271" t="s">
        <v>1944</v>
      </c>
      <c r="D271">
        <v>1</v>
      </c>
      <c r="E271" t="s">
        <v>1447</v>
      </c>
      <c r="F271" t="s">
        <v>1949</v>
      </c>
      <c r="G271" t="s">
        <v>1811</v>
      </c>
      <c r="H271" t="s">
        <v>1799</v>
      </c>
      <c r="I271">
        <v>1</v>
      </c>
      <c r="J271" t="s">
        <v>1799</v>
      </c>
      <c r="K271" t="s">
        <v>1799</v>
      </c>
      <c r="L271" t="s">
        <v>1799</v>
      </c>
      <c r="M271" t="s">
        <v>1799</v>
      </c>
      <c r="N271" t="s">
        <v>1799</v>
      </c>
      <c r="O271" s="184" t="str">
        <f>"["&amp;$C271&amp;"]["&amp;$D271&amp;"]["&amp;$F271&amp;"]"</f>
        <v>[S05_InstallationDifferentSamplingFrequency][1][MajorSourceStreams]</v>
      </c>
    </row>
    <row r="272" spans="1:15" x14ac:dyDescent="0.3">
      <c r="A272" t="s">
        <v>1793</v>
      </c>
      <c r="B272" t="s">
        <v>1943</v>
      </c>
      <c r="C272" t="s">
        <v>1944</v>
      </c>
      <c r="D272">
        <v>2</v>
      </c>
      <c r="E272" t="s">
        <v>1447</v>
      </c>
      <c r="F272" t="s">
        <v>1949</v>
      </c>
      <c r="G272" t="s">
        <v>1811</v>
      </c>
      <c r="H272" t="s">
        <v>1799</v>
      </c>
      <c r="I272">
        <v>1</v>
      </c>
      <c r="J272" t="s">
        <v>1799</v>
      </c>
      <c r="K272" t="s">
        <v>1799</v>
      </c>
      <c r="L272" t="s">
        <v>1799</v>
      </c>
      <c r="M272" t="s">
        <v>1799</v>
      </c>
      <c r="N272" t="s">
        <v>1799</v>
      </c>
      <c r="O272" s="184" t="str">
        <f>"["&amp;$C272&amp;"]["&amp;$D272&amp;"]["&amp;$F272&amp;"]"</f>
        <v>[S05_InstallationDifferentSamplingFrequency][2][MajorSourceStreams]</v>
      </c>
    </row>
    <row r="273" spans="1:15" x14ac:dyDescent="0.3">
      <c r="A273" t="s">
        <v>1793</v>
      </c>
      <c r="B273" t="s">
        <v>1943</v>
      </c>
      <c r="C273" t="s">
        <v>1944</v>
      </c>
      <c r="D273">
        <v>1</v>
      </c>
      <c r="E273" t="s">
        <v>1447</v>
      </c>
      <c r="F273" t="s">
        <v>1950</v>
      </c>
      <c r="G273" t="s">
        <v>1829</v>
      </c>
      <c r="H273" t="s">
        <v>1799</v>
      </c>
      <c r="I273" t="s">
        <v>1799</v>
      </c>
      <c r="J273" t="s">
        <v>1799</v>
      </c>
      <c r="K273" t="s">
        <v>1799</v>
      </c>
      <c r="L273" t="s">
        <v>1419</v>
      </c>
      <c r="M273" t="s">
        <v>1799</v>
      </c>
      <c r="N273" t="s">
        <v>1799</v>
      </c>
      <c r="O273" s="184" t="str">
        <f>"["&amp;$C273&amp;"]["&amp;$D273&amp;"]["&amp;$F273&amp;"]"</f>
        <v>[S05_InstallationDifferentSamplingFrequency][1][SamplingPlanDocumented]</v>
      </c>
    </row>
    <row r="274" spans="1:15" x14ac:dyDescent="0.3">
      <c r="A274" t="s">
        <v>1793</v>
      </c>
      <c r="B274" t="s">
        <v>1943</v>
      </c>
      <c r="C274" t="s">
        <v>1944</v>
      </c>
      <c r="D274">
        <v>2</v>
      </c>
      <c r="E274" t="s">
        <v>1447</v>
      </c>
      <c r="F274" t="s">
        <v>1950</v>
      </c>
      <c r="G274" t="s">
        <v>1829</v>
      </c>
      <c r="H274" t="s">
        <v>1799</v>
      </c>
      <c r="I274" t="s">
        <v>1799</v>
      </c>
      <c r="J274" t="s">
        <v>1799</v>
      </c>
      <c r="K274" t="s">
        <v>1799</v>
      </c>
      <c r="L274" t="s">
        <v>1419</v>
      </c>
      <c r="M274" t="s">
        <v>1799</v>
      </c>
      <c r="N274" t="s">
        <v>1799</v>
      </c>
      <c r="O274" s="184" t="str">
        <f>"["&amp;$C274&amp;"]["&amp;$D274&amp;"]["&amp;$F274&amp;"]"</f>
        <v>[S05_InstallationDifferentSamplingFrequency][2][SamplingPlanDocumented]</v>
      </c>
    </row>
    <row r="275" spans="1:15" x14ac:dyDescent="0.3">
      <c r="A275" t="s">
        <v>1793</v>
      </c>
      <c r="B275" t="s">
        <v>1951</v>
      </c>
      <c r="C275" t="s">
        <v>1952</v>
      </c>
      <c r="D275">
        <v>1</v>
      </c>
      <c r="E275" t="s">
        <v>1447</v>
      </c>
      <c r="F275" t="s">
        <v>1953</v>
      </c>
      <c r="G275" t="s">
        <v>1737</v>
      </c>
      <c r="H275" t="s">
        <v>1799</v>
      </c>
      <c r="I275" t="s">
        <v>1799</v>
      </c>
      <c r="J275" t="s">
        <v>1799</v>
      </c>
      <c r="K275" t="s">
        <v>1799</v>
      </c>
      <c r="L275" t="s">
        <v>1430</v>
      </c>
      <c r="M275" t="s">
        <v>1799</v>
      </c>
      <c r="N275" t="s">
        <v>1799</v>
      </c>
      <c r="O275" s="184" t="str">
        <f>"["&amp;$C275&amp;"]["&amp;$D275&amp;"]["&amp;$F275&amp;"]"</f>
        <v>[S05_CategoryBHighestTierNotApplied][1][MonitoringMethodology]</v>
      </c>
    </row>
    <row r="276" spans="1:15" x14ac:dyDescent="0.3">
      <c r="A276" t="s">
        <v>1793</v>
      </c>
      <c r="B276" t="s">
        <v>1951</v>
      </c>
      <c r="C276" t="s">
        <v>1952</v>
      </c>
      <c r="D276">
        <v>1</v>
      </c>
      <c r="E276" t="s">
        <v>1447</v>
      </c>
      <c r="F276" t="s">
        <v>1954</v>
      </c>
      <c r="G276" t="s">
        <v>1737</v>
      </c>
      <c r="H276" t="s">
        <v>1799</v>
      </c>
      <c r="I276" t="s">
        <v>1799</v>
      </c>
      <c r="J276" t="s">
        <v>1799</v>
      </c>
      <c r="K276" t="s">
        <v>1799</v>
      </c>
      <c r="L276" t="s">
        <v>1448</v>
      </c>
      <c r="M276" t="s">
        <v>1799</v>
      </c>
      <c r="N276" t="s">
        <v>1799</v>
      </c>
      <c r="O276" s="184" t="str">
        <f>"["&amp;$C276&amp;"]["&amp;$D276&amp;"]["&amp;$F276&amp;"]"</f>
        <v>[S05_CategoryBHighestTierNotApplied][1][CategoryBMainActivity]</v>
      </c>
    </row>
    <row r="277" spans="1:15" x14ac:dyDescent="0.3">
      <c r="A277" t="s">
        <v>1793</v>
      </c>
      <c r="B277" t="s">
        <v>1951</v>
      </c>
      <c r="C277" t="s">
        <v>1952</v>
      </c>
      <c r="D277">
        <v>1</v>
      </c>
      <c r="E277" t="s">
        <v>1447</v>
      </c>
      <c r="F277" t="s">
        <v>1955</v>
      </c>
      <c r="G277" t="s">
        <v>1811</v>
      </c>
      <c r="H277" t="s">
        <v>1799</v>
      </c>
      <c r="I277">
        <v>1</v>
      </c>
      <c r="J277" t="s">
        <v>1799</v>
      </c>
      <c r="K277" t="s">
        <v>1799</v>
      </c>
      <c r="L277" t="s">
        <v>1799</v>
      </c>
      <c r="M277" t="s">
        <v>1799</v>
      </c>
      <c r="N277" t="s">
        <v>1799</v>
      </c>
      <c r="O277" s="184" t="str">
        <f>"["&amp;$C277&amp;"]["&amp;$D277&amp;"]["&amp;$F277&amp;"]"</f>
        <v>[S05_CategoryBHighestTierNotApplied][1][CategoryBInstallationsAffected]</v>
      </c>
    </row>
    <row r="278" spans="1:15" x14ac:dyDescent="0.3">
      <c r="A278" t="s">
        <v>1793</v>
      </c>
      <c r="B278" t="s">
        <v>1956</v>
      </c>
      <c r="C278" t="s">
        <v>1957</v>
      </c>
      <c r="D278">
        <v>0</v>
      </c>
      <c r="E278" t="s">
        <v>1447</v>
      </c>
      <c r="F278" t="s">
        <v>1957</v>
      </c>
      <c r="G278" t="s">
        <v>1829</v>
      </c>
      <c r="H278" t="s">
        <v>1799</v>
      </c>
      <c r="I278" t="s">
        <v>1799</v>
      </c>
      <c r="J278" t="s">
        <v>1799</v>
      </c>
      <c r="K278" t="s">
        <v>1799</v>
      </c>
      <c r="L278" t="s">
        <v>1447</v>
      </c>
      <c r="M278" t="s">
        <v>1799</v>
      </c>
      <c r="N278" t="s">
        <v>1799</v>
      </c>
      <c r="O278" s="184" t="str">
        <f>"["&amp;$C278&amp;"]["&amp;$D278&amp;"]["&amp;$F278&amp;"]"</f>
        <v>[FallBackApproachApplied][0][FallBackApproachApplied]</v>
      </c>
    </row>
    <row r="279" spans="1:15" x14ac:dyDescent="0.3">
      <c r="A279" t="s">
        <v>1793</v>
      </c>
      <c r="B279" t="s">
        <v>1958</v>
      </c>
      <c r="C279" t="s">
        <v>1959</v>
      </c>
      <c r="D279">
        <v>1</v>
      </c>
      <c r="E279" t="s">
        <v>1447</v>
      </c>
      <c r="F279" t="s">
        <v>1924</v>
      </c>
      <c r="G279" t="s">
        <v>1737</v>
      </c>
      <c r="H279" t="s">
        <v>1799</v>
      </c>
      <c r="I279" t="s">
        <v>1799</v>
      </c>
      <c r="J279" t="s">
        <v>1799</v>
      </c>
      <c r="K279" t="s">
        <v>1799</v>
      </c>
      <c r="L279" t="s">
        <v>1487</v>
      </c>
      <c r="M279" t="s">
        <v>1799</v>
      </c>
      <c r="N279" t="s">
        <v>1799</v>
      </c>
      <c r="O279" s="184" t="str">
        <f>"["&amp;$C279&amp;"]["&amp;$D279&amp;"]["&amp;$F279&amp;"]"</f>
        <v>[S05_ImprovementReportArt69][1][InstallationCategory]</v>
      </c>
    </row>
    <row r="280" spans="1:15" x14ac:dyDescent="0.3">
      <c r="A280" t="s">
        <v>1793</v>
      </c>
      <c r="B280" t="s">
        <v>1958</v>
      </c>
      <c r="C280" t="s">
        <v>1959</v>
      </c>
      <c r="D280">
        <v>2</v>
      </c>
      <c r="E280" t="s">
        <v>1447</v>
      </c>
      <c r="F280" t="s">
        <v>1924</v>
      </c>
      <c r="G280" t="s">
        <v>1737</v>
      </c>
      <c r="H280" t="s">
        <v>1799</v>
      </c>
      <c r="I280" t="s">
        <v>1799</v>
      </c>
      <c r="J280" t="s">
        <v>1799</v>
      </c>
      <c r="K280" t="s">
        <v>1799</v>
      </c>
      <c r="L280" t="s">
        <v>1487</v>
      </c>
      <c r="M280" t="s">
        <v>1799</v>
      </c>
      <c r="N280" t="s">
        <v>1799</v>
      </c>
      <c r="O280" s="184" t="str">
        <f>"["&amp;$C280&amp;"]["&amp;$D280&amp;"]["&amp;$F280&amp;"]"</f>
        <v>[S05_ImprovementReportArt69][2][InstallationCategory]</v>
      </c>
    </row>
    <row r="281" spans="1:15" x14ac:dyDescent="0.3">
      <c r="A281" t="s">
        <v>1793</v>
      </c>
      <c r="B281" t="s">
        <v>1958</v>
      </c>
      <c r="C281" t="s">
        <v>1959</v>
      </c>
      <c r="D281">
        <v>3</v>
      </c>
      <c r="E281" t="s">
        <v>1447</v>
      </c>
      <c r="F281" t="s">
        <v>1924</v>
      </c>
      <c r="G281" t="s">
        <v>1737</v>
      </c>
      <c r="H281" t="s">
        <v>1799</v>
      </c>
      <c r="I281" t="s">
        <v>1799</v>
      </c>
      <c r="J281" t="s">
        <v>1799</v>
      </c>
      <c r="K281" t="s">
        <v>1799</v>
      </c>
      <c r="L281" t="s">
        <v>1460</v>
      </c>
      <c r="M281" t="s">
        <v>1799</v>
      </c>
      <c r="N281" t="s">
        <v>1799</v>
      </c>
      <c r="O281" s="184" t="str">
        <f>"["&amp;$C281&amp;"]["&amp;$D281&amp;"]["&amp;$F281&amp;"]"</f>
        <v>[S05_ImprovementReportArt69][3][InstallationCategory]</v>
      </c>
    </row>
    <row r="282" spans="1:15" x14ac:dyDescent="0.3">
      <c r="A282" t="s">
        <v>1793</v>
      </c>
      <c r="B282" t="s">
        <v>1958</v>
      </c>
      <c r="C282" t="s">
        <v>1959</v>
      </c>
      <c r="D282">
        <v>4</v>
      </c>
      <c r="E282" t="s">
        <v>1447</v>
      </c>
      <c r="F282" t="s">
        <v>1924</v>
      </c>
      <c r="G282" t="s">
        <v>1737</v>
      </c>
      <c r="H282" t="s">
        <v>1799</v>
      </c>
      <c r="I282" t="s">
        <v>1799</v>
      </c>
      <c r="J282" t="s">
        <v>1799</v>
      </c>
      <c r="K282" t="s">
        <v>1799</v>
      </c>
      <c r="L282" t="s">
        <v>1460</v>
      </c>
      <c r="M282" t="s">
        <v>1799</v>
      </c>
      <c r="N282" t="s">
        <v>1799</v>
      </c>
      <c r="O282" s="184" t="str">
        <f>"["&amp;$C282&amp;"]["&amp;$D282&amp;"]["&amp;$F282&amp;"]"</f>
        <v>[S05_ImprovementReportArt69][4][InstallationCategory]</v>
      </c>
    </row>
    <row r="283" spans="1:15" x14ac:dyDescent="0.3">
      <c r="A283" t="s">
        <v>1793</v>
      </c>
      <c r="B283" t="s">
        <v>1958</v>
      </c>
      <c r="C283" t="s">
        <v>1959</v>
      </c>
      <c r="D283">
        <v>5</v>
      </c>
      <c r="E283" t="s">
        <v>1447</v>
      </c>
      <c r="F283" t="s">
        <v>1924</v>
      </c>
      <c r="G283" t="s">
        <v>1737</v>
      </c>
      <c r="H283" t="s">
        <v>1799</v>
      </c>
      <c r="I283" t="s">
        <v>1799</v>
      </c>
      <c r="J283" t="s">
        <v>1799</v>
      </c>
      <c r="K283" t="s">
        <v>1799</v>
      </c>
      <c r="L283" t="s">
        <v>1432</v>
      </c>
      <c r="M283" t="s">
        <v>1799</v>
      </c>
      <c r="N283" t="s">
        <v>1799</v>
      </c>
      <c r="O283" s="184" t="str">
        <f>"["&amp;$C283&amp;"]["&amp;$D283&amp;"]["&amp;$F283&amp;"]"</f>
        <v>[S05_ImprovementReportArt69][5][InstallationCategory]</v>
      </c>
    </row>
    <row r="284" spans="1:15" x14ac:dyDescent="0.3">
      <c r="A284" t="s">
        <v>1793</v>
      </c>
      <c r="B284" t="s">
        <v>1958</v>
      </c>
      <c r="C284" t="s">
        <v>1959</v>
      </c>
      <c r="D284">
        <v>6</v>
      </c>
      <c r="E284" t="s">
        <v>1447</v>
      </c>
      <c r="F284" t="s">
        <v>1924</v>
      </c>
      <c r="G284" t="s">
        <v>1737</v>
      </c>
      <c r="H284" t="s">
        <v>1799</v>
      </c>
      <c r="I284" t="s">
        <v>1799</v>
      </c>
      <c r="J284" t="s">
        <v>1799</v>
      </c>
      <c r="K284" t="s">
        <v>1799</v>
      </c>
      <c r="L284" t="s">
        <v>1432</v>
      </c>
      <c r="M284" t="s">
        <v>1799</v>
      </c>
      <c r="N284" t="s">
        <v>1799</v>
      </c>
      <c r="O284" s="184" t="str">
        <f>"["&amp;$C284&amp;"]["&amp;$D284&amp;"]["&amp;$F284&amp;"]"</f>
        <v>[S05_ImprovementReportArt69][6][InstallationCategory]</v>
      </c>
    </row>
    <row r="285" spans="1:15" x14ac:dyDescent="0.3">
      <c r="A285" t="s">
        <v>1793</v>
      </c>
      <c r="B285" t="s">
        <v>1958</v>
      </c>
      <c r="C285" t="s">
        <v>1959</v>
      </c>
      <c r="D285">
        <v>1</v>
      </c>
      <c r="E285" t="s">
        <v>1447</v>
      </c>
      <c r="F285" t="s">
        <v>1960</v>
      </c>
      <c r="G285" t="s">
        <v>1737</v>
      </c>
      <c r="H285" t="s">
        <v>1799</v>
      </c>
      <c r="I285" t="s">
        <v>1799</v>
      </c>
      <c r="J285" t="s">
        <v>1799</v>
      </c>
      <c r="K285" t="s">
        <v>1799</v>
      </c>
      <c r="L285" t="s">
        <v>1420</v>
      </c>
      <c r="M285" t="s">
        <v>1799</v>
      </c>
      <c r="N285" t="s">
        <v>1799</v>
      </c>
      <c r="O285" s="184" t="str">
        <f>"["&amp;$C285&amp;"]["&amp;$D285&amp;"]["&amp;$F285&amp;"]"</f>
        <v>[S05_ImprovementReportArt69][1][Annex1Activity]</v>
      </c>
    </row>
    <row r="286" spans="1:15" x14ac:dyDescent="0.3">
      <c r="A286" t="s">
        <v>1793</v>
      </c>
      <c r="B286" t="s">
        <v>1958</v>
      </c>
      <c r="C286" t="s">
        <v>1959</v>
      </c>
      <c r="D286">
        <v>2</v>
      </c>
      <c r="E286" t="s">
        <v>1447</v>
      </c>
      <c r="F286" t="s">
        <v>1960</v>
      </c>
      <c r="G286" t="s">
        <v>1737</v>
      </c>
      <c r="H286" t="s">
        <v>1799</v>
      </c>
      <c r="I286" t="s">
        <v>1799</v>
      </c>
      <c r="J286" t="s">
        <v>1799</v>
      </c>
      <c r="K286" t="s">
        <v>1799</v>
      </c>
      <c r="L286" t="s">
        <v>1448</v>
      </c>
      <c r="M286" t="s">
        <v>1799</v>
      </c>
      <c r="N286" t="s">
        <v>1799</v>
      </c>
      <c r="O286" s="184" t="str">
        <f>"["&amp;$C286&amp;"]["&amp;$D286&amp;"]["&amp;$F286&amp;"]"</f>
        <v>[S05_ImprovementReportArt69][2][Annex1Activity]</v>
      </c>
    </row>
    <row r="287" spans="1:15" x14ac:dyDescent="0.3">
      <c r="A287" t="s">
        <v>1793</v>
      </c>
      <c r="B287" t="s">
        <v>1958</v>
      </c>
      <c r="C287" t="s">
        <v>1959</v>
      </c>
      <c r="D287">
        <v>3</v>
      </c>
      <c r="E287" t="s">
        <v>1447</v>
      </c>
      <c r="F287" t="s">
        <v>1960</v>
      </c>
      <c r="G287" t="s">
        <v>1737</v>
      </c>
      <c r="H287" t="s">
        <v>1799</v>
      </c>
      <c r="I287" t="s">
        <v>1799</v>
      </c>
      <c r="J287" t="s">
        <v>1799</v>
      </c>
      <c r="K287" t="s">
        <v>1799</v>
      </c>
      <c r="L287" t="s">
        <v>1420</v>
      </c>
      <c r="M287" t="s">
        <v>1799</v>
      </c>
      <c r="N287" t="s">
        <v>1799</v>
      </c>
      <c r="O287" s="184" t="str">
        <f>"["&amp;$C287&amp;"]["&amp;$D287&amp;"]["&amp;$F287&amp;"]"</f>
        <v>[S05_ImprovementReportArt69][3][Annex1Activity]</v>
      </c>
    </row>
    <row r="288" spans="1:15" x14ac:dyDescent="0.3">
      <c r="A288" t="s">
        <v>1793</v>
      </c>
      <c r="B288" t="s">
        <v>1958</v>
      </c>
      <c r="C288" t="s">
        <v>1959</v>
      </c>
      <c r="D288">
        <v>4</v>
      </c>
      <c r="E288" t="s">
        <v>1447</v>
      </c>
      <c r="F288" t="s">
        <v>1960</v>
      </c>
      <c r="G288" t="s">
        <v>1737</v>
      </c>
      <c r="H288" t="s">
        <v>1799</v>
      </c>
      <c r="I288" t="s">
        <v>1799</v>
      </c>
      <c r="J288" t="s">
        <v>1799</v>
      </c>
      <c r="K288" t="s">
        <v>1799</v>
      </c>
      <c r="L288" t="s">
        <v>1448</v>
      </c>
      <c r="M288" t="s">
        <v>1799</v>
      </c>
      <c r="N288" t="s">
        <v>1799</v>
      </c>
      <c r="O288" s="184" t="str">
        <f>"["&amp;$C288&amp;"]["&amp;$D288&amp;"]["&amp;$F288&amp;"]"</f>
        <v>[S05_ImprovementReportArt69][4][Annex1Activity]</v>
      </c>
    </row>
    <row r="289" spans="1:15" x14ac:dyDescent="0.3">
      <c r="A289" t="s">
        <v>1793</v>
      </c>
      <c r="B289" t="s">
        <v>1958</v>
      </c>
      <c r="C289" t="s">
        <v>1959</v>
      </c>
      <c r="D289">
        <v>5</v>
      </c>
      <c r="E289" t="s">
        <v>1447</v>
      </c>
      <c r="F289" t="s">
        <v>1960</v>
      </c>
      <c r="G289" t="s">
        <v>1737</v>
      </c>
      <c r="H289" t="s">
        <v>1799</v>
      </c>
      <c r="I289" t="s">
        <v>1799</v>
      </c>
      <c r="J289" t="s">
        <v>1799</v>
      </c>
      <c r="K289" t="s">
        <v>1799</v>
      </c>
      <c r="L289" t="s">
        <v>1448</v>
      </c>
      <c r="M289" t="s">
        <v>1799</v>
      </c>
      <c r="N289" t="s">
        <v>1799</v>
      </c>
      <c r="O289" s="184" t="str">
        <f>"["&amp;$C289&amp;"]["&amp;$D289&amp;"]["&amp;$F289&amp;"]"</f>
        <v>[S05_ImprovementReportArt69][5][Annex1Activity]</v>
      </c>
    </row>
    <row r="290" spans="1:15" x14ac:dyDescent="0.3">
      <c r="A290" t="s">
        <v>1793</v>
      </c>
      <c r="B290" t="s">
        <v>1958</v>
      </c>
      <c r="C290" t="s">
        <v>1959</v>
      </c>
      <c r="D290">
        <v>6</v>
      </c>
      <c r="E290" t="s">
        <v>1447</v>
      </c>
      <c r="F290" t="s">
        <v>1960</v>
      </c>
      <c r="G290" t="s">
        <v>1737</v>
      </c>
      <c r="H290" t="s">
        <v>1799</v>
      </c>
      <c r="I290" t="s">
        <v>1799</v>
      </c>
      <c r="J290" t="s">
        <v>1799</v>
      </c>
      <c r="K290" t="s">
        <v>1799</v>
      </c>
      <c r="L290" t="s">
        <v>1420</v>
      </c>
      <c r="M290" t="s">
        <v>1799</v>
      </c>
      <c r="N290" t="s">
        <v>1799</v>
      </c>
      <c r="O290" s="184" t="str">
        <f>"["&amp;$C290&amp;"]["&amp;$D290&amp;"]["&amp;$F290&amp;"]"</f>
        <v>[S05_ImprovementReportArt69][6][Annex1Activity]</v>
      </c>
    </row>
    <row r="291" spans="1:15" x14ac:dyDescent="0.3">
      <c r="A291" t="s">
        <v>1793</v>
      </c>
      <c r="B291" t="s">
        <v>1958</v>
      </c>
      <c r="C291" t="s">
        <v>1959</v>
      </c>
      <c r="D291">
        <v>1</v>
      </c>
      <c r="E291" t="s">
        <v>1447</v>
      </c>
      <c r="F291" t="s">
        <v>1961</v>
      </c>
      <c r="G291" t="s">
        <v>1737</v>
      </c>
      <c r="H291" t="s">
        <v>1799</v>
      </c>
      <c r="I291" t="s">
        <v>1799</v>
      </c>
      <c r="J291" t="s">
        <v>1799</v>
      </c>
      <c r="K291" t="s">
        <v>1799</v>
      </c>
      <c r="L291" t="s">
        <v>1488</v>
      </c>
      <c r="M291" t="s">
        <v>1799</v>
      </c>
      <c r="N291" t="s">
        <v>1799</v>
      </c>
      <c r="O291" s="184" t="str">
        <f>"["&amp;$C291&amp;"]["&amp;$D291&amp;"]["&amp;$F291&amp;"]"</f>
        <v>[S05_ImprovementReportArt69][1][ImprovementReportType]</v>
      </c>
    </row>
    <row r="292" spans="1:15" x14ac:dyDescent="0.3">
      <c r="A292" t="s">
        <v>1793</v>
      </c>
      <c r="B292" t="s">
        <v>1958</v>
      </c>
      <c r="C292" t="s">
        <v>1959</v>
      </c>
      <c r="D292">
        <v>2</v>
      </c>
      <c r="E292" t="s">
        <v>1447</v>
      </c>
      <c r="F292" t="s">
        <v>1961</v>
      </c>
      <c r="G292" t="s">
        <v>1737</v>
      </c>
      <c r="H292" t="s">
        <v>1799</v>
      </c>
      <c r="I292" t="s">
        <v>1799</v>
      </c>
      <c r="J292" t="s">
        <v>1799</v>
      </c>
      <c r="K292" t="s">
        <v>1799</v>
      </c>
      <c r="L292" t="s">
        <v>1488</v>
      </c>
      <c r="M292" t="s">
        <v>1799</v>
      </c>
      <c r="N292" t="s">
        <v>1799</v>
      </c>
      <c r="O292" s="184" t="str">
        <f>"["&amp;$C292&amp;"]["&amp;$D292&amp;"]["&amp;$F292&amp;"]"</f>
        <v>[S05_ImprovementReportArt69][2][ImprovementReportType]</v>
      </c>
    </row>
    <row r="293" spans="1:15" x14ac:dyDescent="0.3">
      <c r="A293" t="s">
        <v>1793</v>
      </c>
      <c r="B293" t="s">
        <v>1958</v>
      </c>
      <c r="C293" t="s">
        <v>1959</v>
      </c>
      <c r="D293">
        <v>3</v>
      </c>
      <c r="E293" t="s">
        <v>1447</v>
      </c>
      <c r="F293" t="s">
        <v>1961</v>
      </c>
      <c r="G293" t="s">
        <v>1737</v>
      </c>
      <c r="H293" t="s">
        <v>1799</v>
      </c>
      <c r="I293" t="s">
        <v>1799</v>
      </c>
      <c r="J293" t="s">
        <v>1799</v>
      </c>
      <c r="K293" t="s">
        <v>1799</v>
      </c>
      <c r="L293" t="s">
        <v>1488</v>
      </c>
      <c r="M293" t="s">
        <v>1799</v>
      </c>
      <c r="N293" t="s">
        <v>1799</v>
      </c>
      <c r="O293" s="184" t="str">
        <f>"["&amp;$C293&amp;"]["&amp;$D293&amp;"]["&amp;$F293&amp;"]"</f>
        <v>[S05_ImprovementReportArt69][3][ImprovementReportType]</v>
      </c>
    </row>
    <row r="294" spans="1:15" x14ac:dyDescent="0.3">
      <c r="A294" t="s">
        <v>1793</v>
      </c>
      <c r="B294" t="s">
        <v>1958</v>
      </c>
      <c r="C294" t="s">
        <v>1959</v>
      </c>
      <c r="D294">
        <v>4</v>
      </c>
      <c r="E294" t="s">
        <v>1447</v>
      </c>
      <c r="F294" t="s">
        <v>1961</v>
      </c>
      <c r="G294" t="s">
        <v>1737</v>
      </c>
      <c r="H294" t="s">
        <v>1799</v>
      </c>
      <c r="I294" t="s">
        <v>1799</v>
      </c>
      <c r="J294" t="s">
        <v>1799</v>
      </c>
      <c r="K294" t="s">
        <v>1799</v>
      </c>
      <c r="L294" t="s">
        <v>1488</v>
      </c>
      <c r="M294" t="s">
        <v>1799</v>
      </c>
      <c r="N294" t="s">
        <v>1799</v>
      </c>
      <c r="O294" s="184" t="str">
        <f>"["&amp;$C294&amp;"]["&amp;$D294&amp;"]["&amp;$F294&amp;"]"</f>
        <v>[S05_ImprovementReportArt69][4][ImprovementReportType]</v>
      </c>
    </row>
    <row r="295" spans="1:15" x14ac:dyDescent="0.3">
      <c r="A295" t="s">
        <v>1793</v>
      </c>
      <c r="B295" t="s">
        <v>1958</v>
      </c>
      <c r="C295" t="s">
        <v>1959</v>
      </c>
      <c r="D295">
        <v>5</v>
      </c>
      <c r="E295" t="s">
        <v>1447</v>
      </c>
      <c r="F295" t="s">
        <v>1961</v>
      </c>
      <c r="G295" t="s">
        <v>1737</v>
      </c>
      <c r="H295" t="s">
        <v>1799</v>
      </c>
      <c r="I295" t="s">
        <v>1799</v>
      </c>
      <c r="J295" t="s">
        <v>1799</v>
      </c>
      <c r="K295" t="s">
        <v>1799</v>
      </c>
      <c r="L295" t="s">
        <v>1488</v>
      </c>
      <c r="M295" t="s">
        <v>1799</v>
      </c>
      <c r="N295" t="s">
        <v>1799</v>
      </c>
      <c r="O295" s="184" t="str">
        <f>"["&amp;$C295&amp;"]["&amp;$D295&amp;"]["&amp;$F295&amp;"]"</f>
        <v>[S05_ImprovementReportArt69][5][ImprovementReportType]</v>
      </c>
    </row>
    <row r="296" spans="1:15" x14ac:dyDescent="0.3">
      <c r="A296" t="s">
        <v>1793</v>
      </c>
      <c r="B296" t="s">
        <v>1958</v>
      </c>
      <c r="C296" t="s">
        <v>1959</v>
      </c>
      <c r="D296">
        <v>6</v>
      </c>
      <c r="E296" t="s">
        <v>1447</v>
      </c>
      <c r="F296" t="s">
        <v>1961</v>
      </c>
      <c r="G296" t="s">
        <v>1737</v>
      </c>
      <c r="H296" t="s">
        <v>1799</v>
      </c>
      <c r="I296" t="s">
        <v>1799</v>
      </c>
      <c r="J296" t="s">
        <v>1799</v>
      </c>
      <c r="K296" t="s">
        <v>1799</v>
      </c>
      <c r="L296" t="s">
        <v>1433</v>
      </c>
      <c r="M296" t="s">
        <v>1799</v>
      </c>
      <c r="N296" t="s">
        <v>1799</v>
      </c>
      <c r="O296" s="184" t="str">
        <f>"["&amp;$C296&amp;"]["&amp;$D296&amp;"]["&amp;$F296&amp;"]"</f>
        <v>[S05_ImprovementReportArt69][6][ImprovementReportType]</v>
      </c>
    </row>
    <row r="297" spans="1:15" x14ac:dyDescent="0.3">
      <c r="A297" t="s">
        <v>1793</v>
      </c>
      <c r="B297" t="s">
        <v>1958</v>
      </c>
      <c r="C297" t="s">
        <v>1959</v>
      </c>
      <c r="D297">
        <v>1</v>
      </c>
      <c r="E297" t="s">
        <v>1447</v>
      </c>
      <c r="F297" t="s">
        <v>1962</v>
      </c>
      <c r="G297" t="s">
        <v>1811</v>
      </c>
      <c r="H297" t="s">
        <v>1799</v>
      </c>
      <c r="I297">
        <v>4</v>
      </c>
      <c r="J297" t="s">
        <v>1799</v>
      </c>
      <c r="K297" t="s">
        <v>1799</v>
      </c>
      <c r="L297" t="s">
        <v>1799</v>
      </c>
      <c r="M297" t="s">
        <v>1799</v>
      </c>
      <c r="N297" t="s">
        <v>1799</v>
      </c>
      <c r="O297" s="184" t="str">
        <f>"["&amp;$C297&amp;"]["&amp;$D297&amp;"]["&amp;$F297&amp;"]"</f>
        <v>[S05_ImprovementReportArt69][1][ImprovementReportRequired]</v>
      </c>
    </row>
    <row r="298" spans="1:15" x14ac:dyDescent="0.3">
      <c r="A298" t="s">
        <v>1793</v>
      </c>
      <c r="B298" t="s">
        <v>1958</v>
      </c>
      <c r="C298" t="s">
        <v>1959</v>
      </c>
      <c r="D298">
        <v>2</v>
      </c>
      <c r="E298" t="s">
        <v>1447</v>
      </c>
      <c r="F298" t="s">
        <v>1962</v>
      </c>
      <c r="G298" t="s">
        <v>1811</v>
      </c>
      <c r="H298" t="s">
        <v>1799</v>
      </c>
      <c r="I298">
        <v>2</v>
      </c>
      <c r="J298" t="s">
        <v>1799</v>
      </c>
      <c r="K298" t="s">
        <v>1799</v>
      </c>
      <c r="L298" t="s">
        <v>1799</v>
      </c>
      <c r="M298" t="s">
        <v>1799</v>
      </c>
      <c r="N298" t="s">
        <v>1799</v>
      </c>
      <c r="O298" s="184" t="str">
        <f>"["&amp;$C298&amp;"]["&amp;$D298&amp;"]["&amp;$F298&amp;"]"</f>
        <v>[S05_ImprovementReportArt69][2][ImprovementReportRequired]</v>
      </c>
    </row>
    <row r="299" spans="1:15" x14ac:dyDescent="0.3">
      <c r="A299" t="s">
        <v>1793</v>
      </c>
      <c r="B299" t="s">
        <v>1958</v>
      </c>
      <c r="C299" t="s">
        <v>1959</v>
      </c>
      <c r="D299">
        <v>3</v>
      </c>
      <c r="E299" t="s">
        <v>1447</v>
      </c>
      <c r="F299" t="s">
        <v>1962</v>
      </c>
      <c r="G299" t="s">
        <v>1811</v>
      </c>
      <c r="H299" t="s">
        <v>1799</v>
      </c>
      <c r="I299">
        <v>1</v>
      </c>
      <c r="J299" t="s">
        <v>1799</v>
      </c>
      <c r="K299" t="s">
        <v>1799</v>
      </c>
      <c r="L299" t="s">
        <v>1799</v>
      </c>
      <c r="M299" t="s">
        <v>1799</v>
      </c>
      <c r="N299" t="s">
        <v>1799</v>
      </c>
      <c r="O299" s="184" t="str">
        <f>"["&amp;$C299&amp;"]["&amp;$D299&amp;"]["&amp;$F299&amp;"]"</f>
        <v>[S05_ImprovementReportArt69][3][ImprovementReportRequired]</v>
      </c>
    </row>
    <row r="300" spans="1:15" x14ac:dyDescent="0.3">
      <c r="A300" t="s">
        <v>1793</v>
      </c>
      <c r="B300" t="s">
        <v>1958</v>
      </c>
      <c r="C300" t="s">
        <v>1959</v>
      </c>
      <c r="D300">
        <v>4</v>
      </c>
      <c r="E300" t="s">
        <v>1447</v>
      </c>
      <c r="F300" t="s">
        <v>1962</v>
      </c>
      <c r="G300" t="s">
        <v>1811</v>
      </c>
      <c r="H300" t="s">
        <v>1799</v>
      </c>
      <c r="I300">
        <v>1</v>
      </c>
      <c r="J300" t="s">
        <v>1799</v>
      </c>
      <c r="K300" t="s">
        <v>1799</v>
      </c>
      <c r="L300" t="s">
        <v>1799</v>
      </c>
      <c r="M300" t="s">
        <v>1799</v>
      </c>
      <c r="N300" t="s">
        <v>1799</v>
      </c>
      <c r="O300" s="184" t="str">
        <f>"["&amp;$C300&amp;"]["&amp;$D300&amp;"]["&amp;$F300&amp;"]"</f>
        <v>[S05_ImprovementReportArt69][4][ImprovementReportRequired]</v>
      </c>
    </row>
    <row r="301" spans="1:15" x14ac:dyDescent="0.3">
      <c r="A301" t="s">
        <v>1793</v>
      </c>
      <c r="B301" t="s">
        <v>1958</v>
      </c>
      <c r="C301" t="s">
        <v>1959</v>
      </c>
      <c r="D301">
        <v>5</v>
      </c>
      <c r="E301" t="s">
        <v>1447</v>
      </c>
      <c r="F301" t="s">
        <v>1962</v>
      </c>
      <c r="G301" t="s">
        <v>1811</v>
      </c>
      <c r="H301" t="s">
        <v>1799</v>
      </c>
      <c r="I301">
        <v>1</v>
      </c>
      <c r="J301" t="s">
        <v>1799</v>
      </c>
      <c r="K301" t="s">
        <v>1799</v>
      </c>
      <c r="L301" t="s">
        <v>1799</v>
      </c>
      <c r="M301" t="s">
        <v>1799</v>
      </c>
      <c r="N301" t="s">
        <v>1799</v>
      </c>
      <c r="O301" s="184" t="str">
        <f>"["&amp;$C301&amp;"]["&amp;$D301&amp;"]["&amp;$F301&amp;"]"</f>
        <v>[S05_ImprovementReportArt69][5][ImprovementReportRequired]</v>
      </c>
    </row>
    <row r="302" spans="1:15" x14ac:dyDescent="0.3">
      <c r="A302" t="s">
        <v>1793</v>
      </c>
      <c r="B302" t="s">
        <v>1958</v>
      </c>
      <c r="C302" t="s">
        <v>1959</v>
      </c>
      <c r="D302">
        <v>6</v>
      </c>
      <c r="E302" t="s">
        <v>1447</v>
      </c>
      <c r="F302" t="s">
        <v>1962</v>
      </c>
      <c r="G302" t="s">
        <v>1811</v>
      </c>
      <c r="H302" t="s">
        <v>1799</v>
      </c>
      <c r="I302">
        <v>1</v>
      </c>
      <c r="J302" t="s">
        <v>1799</v>
      </c>
      <c r="K302" t="s">
        <v>1799</v>
      </c>
      <c r="L302" t="s">
        <v>1799</v>
      </c>
      <c r="M302" t="s">
        <v>1799</v>
      </c>
      <c r="N302" t="s">
        <v>1799</v>
      </c>
      <c r="O302" s="184" t="str">
        <f>"["&amp;$C302&amp;"]["&amp;$D302&amp;"]["&amp;$F302&amp;"]"</f>
        <v>[S05_ImprovementReportArt69][6][ImprovementReportRequired]</v>
      </c>
    </row>
    <row r="303" spans="1:15" x14ac:dyDescent="0.3">
      <c r="A303" t="s">
        <v>1793</v>
      </c>
      <c r="B303" t="s">
        <v>1958</v>
      </c>
      <c r="C303" t="s">
        <v>1959</v>
      </c>
      <c r="D303">
        <v>1</v>
      </c>
      <c r="E303" t="s">
        <v>1447</v>
      </c>
      <c r="F303" t="s">
        <v>1963</v>
      </c>
      <c r="G303" t="s">
        <v>1811</v>
      </c>
      <c r="H303" t="s">
        <v>1799</v>
      </c>
      <c r="I303">
        <v>4</v>
      </c>
      <c r="J303" t="s">
        <v>1799</v>
      </c>
      <c r="K303" t="s">
        <v>1799</v>
      </c>
      <c r="L303" t="s">
        <v>1799</v>
      </c>
      <c r="M303" t="s">
        <v>1799</v>
      </c>
      <c r="N303" t="s">
        <v>1799</v>
      </c>
      <c r="O303" s="184" t="str">
        <f>"["&amp;$C303&amp;"]["&amp;$D303&amp;"]["&amp;$F303&amp;"]"</f>
        <v>[S05_ImprovementReportArt69][1][ImprovementReportSubmitted]</v>
      </c>
    </row>
    <row r="304" spans="1:15" x14ac:dyDescent="0.3">
      <c r="A304" t="s">
        <v>1793</v>
      </c>
      <c r="B304" t="s">
        <v>1958</v>
      </c>
      <c r="C304" t="s">
        <v>1959</v>
      </c>
      <c r="D304">
        <v>2</v>
      </c>
      <c r="E304" t="s">
        <v>1447</v>
      </c>
      <c r="F304" t="s">
        <v>1963</v>
      </c>
      <c r="G304" t="s">
        <v>1811</v>
      </c>
      <c r="H304" t="s">
        <v>1799</v>
      </c>
      <c r="I304">
        <v>2</v>
      </c>
      <c r="J304" t="s">
        <v>1799</v>
      </c>
      <c r="K304" t="s">
        <v>1799</v>
      </c>
      <c r="L304" t="s">
        <v>1799</v>
      </c>
      <c r="M304" t="s">
        <v>1799</v>
      </c>
      <c r="N304" t="s">
        <v>1799</v>
      </c>
      <c r="O304" s="184" t="str">
        <f>"["&amp;$C304&amp;"]["&amp;$D304&amp;"]["&amp;$F304&amp;"]"</f>
        <v>[S05_ImprovementReportArt69][2][ImprovementReportSubmitted]</v>
      </c>
    </row>
    <row r="305" spans="1:15" x14ac:dyDescent="0.3">
      <c r="A305" t="s">
        <v>1793</v>
      </c>
      <c r="B305" t="s">
        <v>1958</v>
      </c>
      <c r="C305" t="s">
        <v>1959</v>
      </c>
      <c r="D305">
        <v>3</v>
      </c>
      <c r="E305" t="s">
        <v>1447</v>
      </c>
      <c r="F305" t="s">
        <v>1963</v>
      </c>
      <c r="G305" t="s">
        <v>1811</v>
      </c>
      <c r="H305" t="s">
        <v>1799</v>
      </c>
      <c r="I305">
        <v>1</v>
      </c>
      <c r="J305" t="s">
        <v>1799</v>
      </c>
      <c r="K305" t="s">
        <v>1799</v>
      </c>
      <c r="L305" t="s">
        <v>1799</v>
      </c>
      <c r="M305" t="s">
        <v>1799</v>
      </c>
      <c r="N305" t="s">
        <v>1799</v>
      </c>
      <c r="O305" s="184" t="str">
        <f>"["&amp;$C305&amp;"]["&amp;$D305&amp;"]["&amp;$F305&amp;"]"</f>
        <v>[S05_ImprovementReportArt69][3][ImprovementReportSubmitted]</v>
      </c>
    </row>
    <row r="306" spans="1:15" x14ac:dyDescent="0.3">
      <c r="A306" t="s">
        <v>1793</v>
      </c>
      <c r="B306" t="s">
        <v>1958</v>
      </c>
      <c r="C306" t="s">
        <v>1959</v>
      </c>
      <c r="D306">
        <v>4</v>
      </c>
      <c r="E306" t="s">
        <v>1447</v>
      </c>
      <c r="F306" t="s">
        <v>1963</v>
      </c>
      <c r="G306" t="s">
        <v>1811</v>
      </c>
      <c r="H306" t="s">
        <v>1799</v>
      </c>
      <c r="I306">
        <v>1</v>
      </c>
      <c r="J306" t="s">
        <v>1799</v>
      </c>
      <c r="K306" t="s">
        <v>1799</v>
      </c>
      <c r="L306" t="s">
        <v>1799</v>
      </c>
      <c r="M306" t="s">
        <v>1799</v>
      </c>
      <c r="N306" t="s">
        <v>1799</v>
      </c>
      <c r="O306" s="184" t="str">
        <f>"["&amp;$C306&amp;"]["&amp;$D306&amp;"]["&amp;$F306&amp;"]"</f>
        <v>[S05_ImprovementReportArt69][4][ImprovementReportSubmitted]</v>
      </c>
    </row>
    <row r="307" spans="1:15" x14ac:dyDescent="0.3">
      <c r="A307" t="s">
        <v>1793</v>
      </c>
      <c r="B307" t="s">
        <v>1958</v>
      </c>
      <c r="C307" t="s">
        <v>1959</v>
      </c>
      <c r="D307">
        <v>5</v>
      </c>
      <c r="E307" t="s">
        <v>1447</v>
      </c>
      <c r="F307" t="s">
        <v>1963</v>
      </c>
      <c r="G307" t="s">
        <v>1811</v>
      </c>
      <c r="H307" t="s">
        <v>1799</v>
      </c>
      <c r="I307">
        <v>1</v>
      </c>
      <c r="J307" t="s">
        <v>1799</v>
      </c>
      <c r="K307" t="s">
        <v>1799</v>
      </c>
      <c r="L307" t="s">
        <v>1799</v>
      </c>
      <c r="M307" t="s">
        <v>1799</v>
      </c>
      <c r="N307" t="s">
        <v>1799</v>
      </c>
      <c r="O307" s="184" t="str">
        <f>"["&amp;$C307&amp;"]["&amp;$D307&amp;"]["&amp;$F307&amp;"]"</f>
        <v>[S05_ImprovementReportArt69][5][ImprovementReportSubmitted]</v>
      </c>
    </row>
    <row r="308" spans="1:15" x14ac:dyDescent="0.3">
      <c r="A308" t="s">
        <v>1793</v>
      </c>
      <c r="B308" t="s">
        <v>1958</v>
      </c>
      <c r="C308" t="s">
        <v>1959</v>
      </c>
      <c r="D308">
        <v>6</v>
      </c>
      <c r="E308" t="s">
        <v>1447</v>
      </c>
      <c r="F308" t="s">
        <v>1963</v>
      </c>
      <c r="G308" t="s">
        <v>1811</v>
      </c>
      <c r="H308" t="s">
        <v>1799</v>
      </c>
      <c r="I308">
        <v>1</v>
      </c>
      <c r="J308" t="s">
        <v>1799</v>
      </c>
      <c r="K308" t="s">
        <v>1799</v>
      </c>
      <c r="L308" t="s">
        <v>1799</v>
      </c>
      <c r="M308" t="s">
        <v>1799</v>
      </c>
      <c r="N308" t="s">
        <v>1799</v>
      </c>
      <c r="O308" s="184" t="str">
        <f>"["&amp;$C308&amp;"]["&amp;$D308&amp;"]["&amp;$F308&amp;"]"</f>
        <v>[S05_ImprovementReportArt69][6][ImprovementReportSubmitted]</v>
      </c>
    </row>
    <row r="309" spans="1:15" x14ac:dyDescent="0.3">
      <c r="A309" t="s">
        <v>1793</v>
      </c>
      <c r="B309" t="s">
        <v>1964</v>
      </c>
      <c r="C309" t="s">
        <v>1965</v>
      </c>
      <c r="D309">
        <v>0</v>
      </c>
      <c r="E309" t="s">
        <v>1447</v>
      </c>
      <c r="F309" t="s">
        <v>1965</v>
      </c>
      <c r="G309" t="s">
        <v>1829</v>
      </c>
      <c r="H309" t="s">
        <v>1799</v>
      </c>
      <c r="I309" t="s">
        <v>1799</v>
      </c>
      <c r="J309" t="s">
        <v>1799</v>
      </c>
      <c r="K309" t="s">
        <v>1799</v>
      </c>
      <c r="L309" t="s">
        <v>1447</v>
      </c>
      <c r="M309" t="s">
        <v>1799</v>
      </c>
      <c r="N309" t="s">
        <v>1799</v>
      </c>
      <c r="O309" s="184" t="str">
        <f>"["&amp;$C309&amp;"]["&amp;$D309&amp;"]["&amp;$F309&amp;"]"</f>
        <v>[InherentCarbonTransferred][0][InherentCarbonTransferred]</v>
      </c>
    </row>
    <row r="310" spans="1:15" x14ac:dyDescent="0.3">
      <c r="A310" t="s">
        <v>1793</v>
      </c>
      <c r="B310" t="s">
        <v>1966</v>
      </c>
      <c r="C310" t="s">
        <v>1967</v>
      </c>
      <c r="D310">
        <v>0</v>
      </c>
      <c r="E310" t="s">
        <v>1447</v>
      </c>
      <c r="F310" t="s">
        <v>1967</v>
      </c>
      <c r="G310" t="s">
        <v>1829</v>
      </c>
      <c r="H310" t="s">
        <v>1799</v>
      </c>
      <c r="I310" t="s">
        <v>1799</v>
      </c>
      <c r="J310" t="s">
        <v>1799</v>
      </c>
      <c r="K310" t="s">
        <v>1799</v>
      </c>
      <c r="L310" t="s">
        <v>1419</v>
      </c>
      <c r="M310" t="s">
        <v>1799</v>
      </c>
      <c r="N310" t="s">
        <v>1799</v>
      </c>
      <c r="O310" s="184" t="str">
        <f>"["&amp;$C310&amp;"]["&amp;$D310&amp;"]["&amp;$F310&amp;"]"</f>
        <v>[ContinuousEmissionsMeasurement][0][ContinuousEmissionsMeasurement]</v>
      </c>
    </row>
    <row r="311" spans="1:15" x14ac:dyDescent="0.3">
      <c r="A311" t="s">
        <v>1793</v>
      </c>
      <c r="B311" t="s">
        <v>1966</v>
      </c>
      <c r="C311" t="s">
        <v>1968</v>
      </c>
      <c r="D311">
        <v>1</v>
      </c>
      <c r="E311" t="s">
        <v>1447</v>
      </c>
      <c r="F311" t="s">
        <v>1969</v>
      </c>
      <c r="G311" t="s">
        <v>1797</v>
      </c>
      <c r="H311" t="s">
        <v>1970</v>
      </c>
      <c r="I311" t="s">
        <v>1799</v>
      </c>
      <c r="J311" t="s">
        <v>1799</v>
      </c>
      <c r="K311" t="s">
        <v>1799</v>
      </c>
      <c r="L311" t="s">
        <v>1799</v>
      </c>
      <c r="M311" t="s">
        <v>1799</v>
      </c>
      <c r="N311" t="s">
        <v>1799</v>
      </c>
      <c r="O311" s="184" t="str">
        <f>"["&amp;$C311&amp;"]["&amp;$D311&amp;"]["&amp;$F311&amp;"]"</f>
        <v>[S05_ContinuousEmissionsMeasurementDetail][1][InstallationIDCO2]</v>
      </c>
    </row>
    <row r="312" spans="1:15" x14ac:dyDescent="0.3">
      <c r="A312" t="s">
        <v>1793</v>
      </c>
      <c r="B312" t="s">
        <v>1966</v>
      </c>
      <c r="C312" t="s">
        <v>1968</v>
      </c>
      <c r="D312">
        <v>1</v>
      </c>
      <c r="E312" t="s">
        <v>1447</v>
      </c>
      <c r="F312" t="s">
        <v>1971</v>
      </c>
      <c r="G312" t="s">
        <v>1913</v>
      </c>
      <c r="H312" t="s">
        <v>1799</v>
      </c>
      <c r="I312" t="s">
        <v>1799</v>
      </c>
      <c r="J312">
        <v>697209</v>
      </c>
      <c r="K312" t="s">
        <v>1799</v>
      </c>
      <c r="L312" t="s">
        <v>1799</v>
      </c>
      <c r="M312" t="s">
        <v>1799</v>
      </c>
      <c r="N312" t="s">
        <v>1799</v>
      </c>
      <c r="O312" s="184" t="str">
        <f>"["&amp;$C312&amp;"]["&amp;$D312&amp;"]["&amp;$F312&amp;"]"</f>
        <v>[S05_ContinuousEmissionsMeasurementDetail][1][TotalEmissionsCO2E]</v>
      </c>
    </row>
    <row r="313" spans="1:15" x14ac:dyDescent="0.3">
      <c r="A313" t="s">
        <v>1793</v>
      </c>
      <c r="B313" t="s">
        <v>1966</v>
      </c>
      <c r="C313" t="s">
        <v>1968</v>
      </c>
      <c r="D313">
        <v>1</v>
      </c>
      <c r="E313" t="s">
        <v>1447</v>
      </c>
      <c r="F313" t="s">
        <v>1972</v>
      </c>
      <c r="G313" t="s">
        <v>1913</v>
      </c>
      <c r="H313" t="s">
        <v>1799</v>
      </c>
      <c r="I313" t="s">
        <v>1799</v>
      </c>
      <c r="J313">
        <v>693854</v>
      </c>
      <c r="K313" t="s">
        <v>1799</v>
      </c>
      <c r="L313" t="s">
        <v>1799</v>
      </c>
      <c r="M313" t="s">
        <v>1799</v>
      </c>
      <c r="N313" t="s">
        <v>1799</v>
      </c>
      <c r="O313" s="184" t="str">
        <f>"["&amp;$C313&amp;"]["&amp;$D313&amp;"]["&amp;$F313&amp;"]"</f>
        <v>[S05_ContinuousEmissionsMeasurementDetail][1][ContinuousMeasurementTotalEmissions]</v>
      </c>
    </row>
    <row r="314" spans="1:15" x14ac:dyDescent="0.3">
      <c r="A314" t="s">
        <v>1793</v>
      </c>
      <c r="B314" t="s">
        <v>1966</v>
      </c>
      <c r="C314" t="s">
        <v>1968</v>
      </c>
      <c r="D314">
        <v>1</v>
      </c>
      <c r="E314" t="s">
        <v>1447</v>
      </c>
      <c r="F314" t="s">
        <v>1973</v>
      </c>
      <c r="G314" t="s">
        <v>1829</v>
      </c>
      <c r="H314" t="s">
        <v>1799</v>
      </c>
      <c r="I314" t="s">
        <v>1799</v>
      </c>
      <c r="J314" t="s">
        <v>1799</v>
      </c>
      <c r="K314" t="s">
        <v>1799</v>
      </c>
      <c r="L314" t="s">
        <v>1447</v>
      </c>
      <c r="M314" t="s">
        <v>1799</v>
      </c>
      <c r="N314" t="s">
        <v>1799</v>
      </c>
      <c r="O314" s="184" t="str">
        <f>"["&amp;$C314&amp;"]["&amp;$D314&amp;"]["&amp;$F314&amp;"]"</f>
        <v>[S05_ContinuousEmissionsMeasurementDetail][1][FlueGasContainBiomass]</v>
      </c>
    </row>
    <row r="315" spans="1:15" x14ac:dyDescent="0.3">
      <c r="A315" t="s">
        <v>1793</v>
      </c>
      <c r="B315" t="s">
        <v>1974</v>
      </c>
      <c r="C315" t="s">
        <v>1975</v>
      </c>
      <c r="D315">
        <v>0</v>
      </c>
      <c r="E315" t="s">
        <v>1447</v>
      </c>
      <c r="F315" t="s">
        <v>1975</v>
      </c>
      <c r="G315" t="s">
        <v>1797</v>
      </c>
      <c r="H315" t="s">
        <v>1976</v>
      </c>
      <c r="I315" t="s">
        <v>1799</v>
      </c>
      <c r="J315" t="s">
        <v>1799</v>
      </c>
      <c r="K315" t="s">
        <v>1799</v>
      </c>
      <c r="L315" t="s">
        <v>1799</v>
      </c>
      <c r="M315" t="s">
        <v>1799</v>
      </c>
      <c r="N315" t="s">
        <v>1799</v>
      </c>
      <c r="O315" s="184" t="str">
        <f>"["&amp;$C315&amp;"]["&amp;$D315&amp;"]["&amp;$F315&amp;"]"</f>
        <v>[SustainabilityComplianceDemonstrate][0][SustainabilityComplianceDemonstrate]</v>
      </c>
    </row>
    <row r="316" spans="1:15" x14ac:dyDescent="0.3">
      <c r="A316" t="s">
        <v>1793</v>
      </c>
      <c r="B316" t="s">
        <v>1974</v>
      </c>
      <c r="C316" t="s">
        <v>1977</v>
      </c>
      <c r="D316">
        <v>1</v>
      </c>
      <c r="E316" t="s">
        <v>1447</v>
      </c>
      <c r="F316" t="s">
        <v>1960</v>
      </c>
      <c r="G316" t="s">
        <v>1737</v>
      </c>
      <c r="H316" t="s">
        <v>1799</v>
      </c>
      <c r="I316" t="s">
        <v>1799</v>
      </c>
      <c r="J316" t="s">
        <v>1799</v>
      </c>
      <c r="K316" t="s">
        <v>1799</v>
      </c>
      <c r="L316" t="s">
        <v>1420</v>
      </c>
      <c r="M316" t="s">
        <v>1799</v>
      </c>
      <c r="N316" t="s">
        <v>1799</v>
      </c>
      <c r="O316" s="184" t="str">
        <f>"["&amp;$C316&amp;"]["&amp;$D316&amp;"]["&amp;$F316&amp;"]"</f>
        <v>[S05_BiomassInstallations][1][Annex1Activity]</v>
      </c>
    </row>
    <row r="317" spans="1:15" x14ac:dyDescent="0.3">
      <c r="A317" t="s">
        <v>1793</v>
      </c>
      <c r="B317" t="s">
        <v>1974</v>
      </c>
      <c r="C317" t="s">
        <v>1977</v>
      </c>
      <c r="D317">
        <v>2</v>
      </c>
      <c r="E317" t="s">
        <v>1447</v>
      </c>
      <c r="F317" t="s">
        <v>1960</v>
      </c>
      <c r="G317" t="s">
        <v>1737</v>
      </c>
      <c r="H317" t="s">
        <v>1799</v>
      </c>
      <c r="I317" t="s">
        <v>1799</v>
      </c>
      <c r="J317" t="s">
        <v>1799</v>
      </c>
      <c r="K317" t="s">
        <v>1799</v>
      </c>
      <c r="L317" t="s">
        <v>1420</v>
      </c>
      <c r="M317" t="s">
        <v>1799</v>
      </c>
      <c r="N317" t="s">
        <v>1799</v>
      </c>
      <c r="O317" s="184" t="str">
        <f>"["&amp;$C317&amp;"]["&amp;$D317&amp;"]["&amp;$F317&amp;"]"</f>
        <v>[S05_BiomassInstallations][2][Annex1Activity]</v>
      </c>
    </row>
    <row r="318" spans="1:15" x14ac:dyDescent="0.3">
      <c r="A318" t="s">
        <v>1793</v>
      </c>
      <c r="B318" t="s">
        <v>1974</v>
      </c>
      <c r="C318" t="s">
        <v>1977</v>
      </c>
      <c r="D318">
        <v>3</v>
      </c>
      <c r="E318" t="s">
        <v>1447</v>
      </c>
      <c r="F318" t="s">
        <v>1960</v>
      </c>
      <c r="G318" t="s">
        <v>1737</v>
      </c>
      <c r="H318" t="s">
        <v>1799</v>
      </c>
      <c r="I318" t="s">
        <v>1799</v>
      </c>
      <c r="J318" t="s">
        <v>1799</v>
      </c>
      <c r="K318" t="s">
        <v>1799</v>
      </c>
      <c r="L318" t="s">
        <v>1420</v>
      </c>
      <c r="M318" t="s">
        <v>1799</v>
      </c>
      <c r="N318" t="s">
        <v>1799</v>
      </c>
      <c r="O318" s="184" t="str">
        <f>"["&amp;$C318&amp;"]["&amp;$D318&amp;"]["&amp;$F318&amp;"]"</f>
        <v>[S05_BiomassInstallations][3][Annex1Activity]</v>
      </c>
    </row>
    <row r="319" spans="1:15" x14ac:dyDescent="0.3">
      <c r="A319" t="s">
        <v>1793</v>
      </c>
      <c r="B319" t="s">
        <v>1974</v>
      </c>
      <c r="C319" t="s">
        <v>1977</v>
      </c>
      <c r="D319">
        <v>4</v>
      </c>
      <c r="E319" t="s">
        <v>1447</v>
      </c>
      <c r="F319" t="s">
        <v>1960</v>
      </c>
      <c r="G319" t="s">
        <v>1737</v>
      </c>
      <c r="H319" t="s">
        <v>1799</v>
      </c>
      <c r="I319" t="s">
        <v>1799</v>
      </c>
      <c r="J319" t="s">
        <v>1799</v>
      </c>
      <c r="K319" t="s">
        <v>1799</v>
      </c>
      <c r="L319" t="s">
        <v>1592</v>
      </c>
      <c r="M319" t="s">
        <v>1799</v>
      </c>
      <c r="N319" t="s">
        <v>1799</v>
      </c>
      <c r="O319" s="184" t="str">
        <f>"["&amp;$C319&amp;"]["&amp;$D319&amp;"]["&amp;$F319&amp;"]"</f>
        <v>[S05_BiomassInstallations][4][Annex1Activity]</v>
      </c>
    </row>
    <row r="320" spans="1:15" x14ac:dyDescent="0.3">
      <c r="A320" t="s">
        <v>1793</v>
      </c>
      <c r="B320" t="s">
        <v>1974</v>
      </c>
      <c r="C320" t="s">
        <v>1977</v>
      </c>
      <c r="D320">
        <v>5</v>
      </c>
      <c r="E320" t="s">
        <v>1447</v>
      </c>
      <c r="F320" t="s">
        <v>1960</v>
      </c>
      <c r="G320" t="s">
        <v>1737</v>
      </c>
      <c r="H320" t="s">
        <v>1799</v>
      </c>
      <c r="I320" t="s">
        <v>1799</v>
      </c>
      <c r="J320" t="s">
        <v>1799</v>
      </c>
      <c r="K320" t="s">
        <v>1799</v>
      </c>
      <c r="L320" t="s">
        <v>1597</v>
      </c>
      <c r="M320" t="s">
        <v>1799</v>
      </c>
      <c r="N320" t="s">
        <v>1799</v>
      </c>
      <c r="O320" s="184" t="str">
        <f>"["&amp;$C320&amp;"]["&amp;$D320&amp;"]["&amp;$F320&amp;"]"</f>
        <v>[S05_BiomassInstallations][5][Annex1Activity]</v>
      </c>
    </row>
    <row r="321" spans="1:15" x14ac:dyDescent="0.3">
      <c r="A321" t="s">
        <v>1793</v>
      </c>
      <c r="B321" t="s">
        <v>1974</v>
      </c>
      <c r="C321" t="s">
        <v>1977</v>
      </c>
      <c r="D321">
        <v>6</v>
      </c>
      <c r="E321" t="s">
        <v>1447</v>
      </c>
      <c r="F321" t="s">
        <v>1960</v>
      </c>
      <c r="G321" t="s">
        <v>1737</v>
      </c>
      <c r="H321" t="s">
        <v>1799</v>
      </c>
      <c r="I321" t="s">
        <v>1799</v>
      </c>
      <c r="J321" t="s">
        <v>1799</v>
      </c>
      <c r="K321" t="s">
        <v>1799</v>
      </c>
      <c r="L321" t="s">
        <v>1448</v>
      </c>
      <c r="M321" t="s">
        <v>1799</v>
      </c>
      <c r="N321" t="s">
        <v>1799</v>
      </c>
      <c r="O321" s="184" t="str">
        <f>"["&amp;$C321&amp;"]["&amp;$D321&amp;"]["&amp;$F321&amp;"]"</f>
        <v>[S05_BiomassInstallations][6][Annex1Activity]</v>
      </c>
    </row>
    <row r="322" spans="1:15" x14ac:dyDescent="0.3">
      <c r="A322" t="s">
        <v>1793</v>
      </c>
      <c r="B322" t="s">
        <v>1974</v>
      </c>
      <c r="C322" t="s">
        <v>1977</v>
      </c>
      <c r="D322">
        <v>1</v>
      </c>
      <c r="E322" t="s">
        <v>1447</v>
      </c>
      <c r="F322" t="s">
        <v>1978</v>
      </c>
      <c r="G322" t="s">
        <v>1737</v>
      </c>
      <c r="H322" t="s">
        <v>1799</v>
      </c>
      <c r="I322" t="s">
        <v>1799</v>
      </c>
      <c r="J322" t="s">
        <v>1799</v>
      </c>
      <c r="K322" t="s">
        <v>1799</v>
      </c>
      <c r="L322" t="s">
        <v>1432</v>
      </c>
      <c r="M322" t="s">
        <v>1799</v>
      </c>
      <c r="N322" t="s">
        <v>1799</v>
      </c>
      <c r="O322" s="184" t="str">
        <f>"["&amp;$C322&amp;"]["&amp;$D322&amp;"]["&amp;$F322&amp;"]"</f>
        <v>[S05_BiomassInstallations][1][BiomassInstallationCategory]</v>
      </c>
    </row>
    <row r="323" spans="1:15" x14ac:dyDescent="0.3">
      <c r="A323" t="s">
        <v>1793</v>
      </c>
      <c r="B323" t="s">
        <v>1974</v>
      </c>
      <c r="C323" t="s">
        <v>1977</v>
      </c>
      <c r="D323">
        <v>2</v>
      </c>
      <c r="E323" t="s">
        <v>1447</v>
      </c>
      <c r="F323" t="s">
        <v>1978</v>
      </c>
      <c r="G323" t="s">
        <v>1737</v>
      </c>
      <c r="H323" t="s">
        <v>1799</v>
      </c>
      <c r="I323" t="s">
        <v>1799</v>
      </c>
      <c r="J323" t="s">
        <v>1799</v>
      </c>
      <c r="K323" t="s">
        <v>1799</v>
      </c>
      <c r="L323" t="s">
        <v>1460</v>
      </c>
      <c r="M323" t="s">
        <v>1799</v>
      </c>
      <c r="N323" t="s">
        <v>1799</v>
      </c>
      <c r="O323" s="184" t="str">
        <f>"["&amp;$C323&amp;"]["&amp;$D323&amp;"]["&amp;$F323&amp;"]"</f>
        <v>[S05_BiomassInstallations][2][BiomassInstallationCategory]</v>
      </c>
    </row>
    <row r="324" spans="1:15" x14ac:dyDescent="0.3">
      <c r="A324" t="s">
        <v>1793</v>
      </c>
      <c r="B324" t="s">
        <v>1974</v>
      </c>
      <c r="C324" t="s">
        <v>1977</v>
      </c>
      <c r="D324">
        <v>3</v>
      </c>
      <c r="E324" t="s">
        <v>1447</v>
      </c>
      <c r="F324" t="s">
        <v>1978</v>
      </c>
      <c r="G324" t="s">
        <v>1737</v>
      </c>
      <c r="H324" t="s">
        <v>1799</v>
      </c>
      <c r="I324" t="s">
        <v>1799</v>
      </c>
      <c r="J324" t="s">
        <v>1799</v>
      </c>
      <c r="K324" t="s">
        <v>1799</v>
      </c>
      <c r="L324" t="s">
        <v>1487</v>
      </c>
      <c r="M324" t="s">
        <v>1799</v>
      </c>
      <c r="N324" t="s">
        <v>1799</v>
      </c>
      <c r="O324" s="184" t="str">
        <f>"["&amp;$C324&amp;"]["&amp;$D324&amp;"]["&amp;$F324&amp;"]"</f>
        <v>[S05_BiomassInstallations][3][BiomassInstallationCategory]</v>
      </c>
    </row>
    <row r="325" spans="1:15" x14ac:dyDescent="0.3">
      <c r="A325" t="s">
        <v>1793</v>
      </c>
      <c r="B325" t="s">
        <v>1974</v>
      </c>
      <c r="C325" t="s">
        <v>1977</v>
      </c>
      <c r="D325">
        <v>4</v>
      </c>
      <c r="E325" t="s">
        <v>1447</v>
      </c>
      <c r="F325" t="s">
        <v>1978</v>
      </c>
      <c r="G325" t="s">
        <v>1737</v>
      </c>
      <c r="H325" t="s">
        <v>1799</v>
      </c>
      <c r="I325" t="s">
        <v>1799</v>
      </c>
      <c r="J325" t="s">
        <v>1799</v>
      </c>
      <c r="K325" t="s">
        <v>1799</v>
      </c>
      <c r="L325" t="s">
        <v>1432</v>
      </c>
      <c r="M325" t="s">
        <v>1799</v>
      </c>
      <c r="N325" t="s">
        <v>1799</v>
      </c>
      <c r="O325" s="184" t="str">
        <f>"["&amp;$C325&amp;"]["&amp;$D325&amp;"]["&amp;$F325&amp;"]"</f>
        <v>[S05_BiomassInstallations][4][BiomassInstallationCategory]</v>
      </c>
    </row>
    <row r="326" spans="1:15" x14ac:dyDescent="0.3">
      <c r="A326" t="s">
        <v>1793</v>
      </c>
      <c r="B326" t="s">
        <v>1974</v>
      </c>
      <c r="C326" t="s">
        <v>1977</v>
      </c>
      <c r="D326">
        <v>5</v>
      </c>
      <c r="E326" t="s">
        <v>1447</v>
      </c>
      <c r="F326" t="s">
        <v>1978</v>
      </c>
      <c r="G326" t="s">
        <v>1737</v>
      </c>
      <c r="H326" t="s">
        <v>1799</v>
      </c>
      <c r="I326" t="s">
        <v>1799</v>
      </c>
      <c r="J326" t="s">
        <v>1799</v>
      </c>
      <c r="K326" t="s">
        <v>1799</v>
      </c>
      <c r="L326" t="s">
        <v>1432</v>
      </c>
      <c r="M326" t="s">
        <v>1799</v>
      </c>
      <c r="N326" t="s">
        <v>1799</v>
      </c>
      <c r="O326" s="184" t="str">
        <f>"["&amp;$C326&amp;"]["&amp;$D326&amp;"]["&amp;$F326&amp;"]"</f>
        <v>[S05_BiomassInstallations][5][BiomassInstallationCategory]</v>
      </c>
    </row>
    <row r="327" spans="1:15" x14ac:dyDescent="0.3">
      <c r="A327" t="s">
        <v>1793</v>
      </c>
      <c r="B327" t="s">
        <v>1974</v>
      </c>
      <c r="C327" t="s">
        <v>1977</v>
      </c>
      <c r="D327">
        <v>6</v>
      </c>
      <c r="E327" t="s">
        <v>1447</v>
      </c>
      <c r="F327" t="s">
        <v>1978</v>
      </c>
      <c r="G327" t="s">
        <v>1737</v>
      </c>
      <c r="H327" t="s">
        <v>1799</v>
      </c>
      <c r="I327" t="s">
        <v>1799</v>
      </c>
      <c r="J327" t="s">
        <v>1799</v>
      </c>
      <c r="K327" t="s">
        <v>1799</v>
      </c>
      <c r="L327" t="s">
        <v>1460</v>
      </c>
      <c r="M327" t="s">
        <v>1799</v>
      </c>
      <c r="N327" t="s">
        <v>1799</v>
      </c>
      <c r="O327" s="184" t="str">
        <f>"["&amp;$C327&amp;"]["&amp;$D327&amp;"]["&amp;$F327&amp;"]"</f>
        <v>[S05_BiomassInstallations][6][BiomassInstallationCategory]</v>
      </c>
    </row>
    <row r="328" spans="1:15" x14ac:dyDescent="0.3">
      <c r="A328" t="s">
        <v>1793</v>
      </c>
      <c r="B328" t="s">
        <v>1974</v>
      </c>
      <c r="C328" t="s">
        <v>1977</v>
      </c>
      <c r="D328">
        <v>1</v>
      </c>
      <c r="E328" t="s">
        <v>1447</v>
      </c>
      <c r="F328" t="s">
        <v>1979</v>
      </c>
      <c r="G328" t="s">
        <v>1811</v>
      </c>
      <c r="H328" t="s">
        <v>1799</v>
      </c>
      <c r="I328">
        <v>14</v>
      </c>
      <c r="J328" t="s">
        <v>1799</v>
      </c>
      <c r="K328" t="s">
        <v>1799</v>
      </c>
      <c r="L328" t="s">
        <v>1799</v>
      </c>
      <c r="M328" t="s">
        <v>1799</v>
      </c>
      <c r="N328" t="s">
        <v>1799</v>
      </c>
      <c r="O328" s="184" t="str">
        <f>"["&amp;$C328&amp;"]["&amp;$D328&amp;"]["&amp;$F328&amp;"]"</f>
        <v>[S05_BiomassInstallations][1][NumberUsingBiomass]</v>
      </c>
    </row>
    <row r="329" spans="1:15" x14ac:dyDescent="0.3">
      <c r="A329" t="s">
        <v>1793</v>
      </c>
      <c r="B329" t="s">
        <v>1974</v>
      </c>
      <c r="C329" t="s">
        <v>1977</v>
      </c>
      <c r="D329">
        <v>2</v>
      </c>
      <c r="E329" t="s">
        <v>1447</v>
      </c>
      <c r="F329" t="s">
        <v>1979</v>
      </c>
      <c r="G329" t="s">
        <v>1811</v>
      </c>
      <c r="H329" t="s">
        <v>1799</v>
      </c>
      <c r="I329">
        <v>1</v>
      </c>
      <c r="J329" t="s">
        <v>1799</v>
      </c>
      <c r="K329" t="s">
        <v>1799</v>
      </c>
      <c r="L329" t="s">
        <v>1799</v>
      </c>
      <c r="M329" t="s">
        <v>1799</v>
      </c>
      <c r="N329" t="s">
        <v>1799</v>
      </c>
      <c r="O329" s="184" t="str">
        <f>"["&amp;$C329&amp;"]["&amp;$D329&amp;"]["&amp;$F329&amp;"]"</f>
        <v>[S05_BiomassInstallations][2][NumberUsingBiomass]</v>
      </c>
    </row>
    <row r="330" spans="1:15" x14ac:dyDescent="0.3">
      <c r="A330" t="s">
        <v>1793</v>
      </c>
      <c r="B330" t="s">
        <v>1974</v>
      </c>
      <c r="C330" t="s">
        <v>1977</v>
      </c>
      <c r="D330">
        <v>3</v>
      </c>
      <c r="E330" t="s">
        <v>1447</v>
      </c>
      <c r="F330" t="s">
        <v>1979</v>
      </c>
      <c r="G330" t="s">
        <v>1811</v>
      </c>
      <c r="H330" t="s">
        <v>1799</v>
      </c>
      <c r="I330">
        <v>3</v>
      </c>
      <c r="J330" t="s">
        <v>1799</v>
      </c>
      <c r="K330" t="s">
        <v>1799</v>
      </c>
      <c r="L330" t="s">
        <v>1799</v>
      </c>
      <c r="M330" t="s">
        <v>1799</v>
      </c>
      <c r="N330" t="s">
        <v>1799</v>
      </c>
      <c r="O330" s="184" t="str">
        <f>"["&amp;$C330&amp;"]["&amp;$D330&amp;"]["&amp;$F330&amp;"]"</f>
        <v>[S05_BiomassInstallations][3][NumberUsingBiomass]</v>
      </c>
    </row>
    <row r="331" spans="1:15" x14ac:dyDescent="0.3">
      <c r="A331" t="s">
        <v>1793</v>
      </c>
      <c r="B331" t="s">
        <v>1974</v>
      </c>
      <c r="C331" t="s">
        <v>1977</v>
      </c>
      <c r="D331">
        <v>4</v>
      </c>
      <c r="E331" t="s">
        <v>1447</v>
      </c>
      <c r="F331" t="s">
        <v>1979</v>
      </c>
      <c r="G331" t="s">
        <v>1811</v>
      </c>
      <c r="H331" t="s">
        <v>1799</v>
      </c>
      <c r="I331">
        <v>1</v>
      </c>
      <c r="J331" t="s">
        <v>1799</v>
      </c>
      <c r="K331" t="s">
        <v>1799</v>
      </c>
      <c r="L331" t="s">
        <v>1799</v>
      </c>
      <c r="M331" t="s">
        <v>1799</v>
      </c>
      <c r="N331" t="s">
        <v>1799</v>
      </c>
      <c r="O331" s="184" t="str">
        <f>"["&amp;$C331&amp;"]["&amp;$D331&amp;"]["&amp;$F331&amp;"]"</f>
        <v>[S05_BiomassInstallations][4][NumberUsingBiomass]</v>
      </c>
    </row>
    <row r="332" spans="1:15" x14ac:dyDescent="0.3">
      <c r="A332" t="s">
        <v>1793</v>
      </c>
      <c r="B332" t="s">
        <v>1974</v>
      </c>
      <c r="C332" t="s">
        <v>1977</v>
      </c>
      <c r="D332">
        <v>5</v>
      </c>
      <c r="E332" t="s">
        <v>1447</v>
      </c>
      <c r="F332" t="s">
        <v>1979</v>
      </c>
      <c r="G332" t="s">
        <v>1811</v>
      </c>
      <c r="H332" t="s">
        <v>1799</v>
      </c>
      <c r="I332">
        <v>1</v>
      </c>
      <c r="J332" t="s">
        <v>1799</v>
      </c>
      <c r="K332" t="s">
        <v>1799</v>
      </c>
      <c r="L332" t="s">
        <v>1799</v>
      </c>
      <c r="M332" t="s">
        <v>1799</v>
      </c>
      <c r="N332" t="s">
        <v>1799</v>
      </c>
      <c r="O332" s="184" t="str">
        <f>"["&amp;$C332&amp;"]["&amp;$D332&amp;"]["&amp;$F332&amp;"]"</f>
        <v>[S05_BiomassInstallations][5][NumberUsingBiomass]</v>
      </c>
    </row>
    <row r="333" spans="1:15" x14ac:dyDescent="0.3">
      <c r="A333" t="s">
        <v>1793</v>
      </c>
      <c r="B333" t="s">
        <v>1974</v>
      </c>
      <c r="C333" t="s">
        <v>1977</v>
      </c>
      <c r="D333">
        <v>6</v>
      </c>
      <c r="E333" t="s">
        <v>1447</v>
      </c>
      <c r="F333" t="s">
        <v>1979</v>
      </c>
      <c r="G333" t="s">
        <v>1811</v>
      </c>
      <c r="H333" t="s">
        <v>1799</v>
      </c>
      <c r="I333">
        <v>1</v>
      </c>
      <c r="J333" t="s">
        <v>1799</v>
      </c>
      <c r="K333" t="s">
        <v>1799</v>
      </c>
      <c r="L333" t="s">
        <v>1799</v>
      </c>
      <c r="M333" t="s">
        <v>1799</v>
      </c>
      <c r="N333" t="s">
        <v>1799</v>
      </c>
      <c r="O333" s="184" t="str">
        <f>"["&amp;$C333&amp;"]["&amp;$D333&amp;"]["&amp;$F333&amp;"]"</f>
        <v>[S05_BiomassInstallations][6][NumberUsingBiomass]</v>
      </c>
    </row>
    <row r="334" spans="1:15" x14ac:dyDescent="0.3">
      <c r="A334" t="s">
        <v>1793</v>
      </c>
      <c r="B334" t="s">
        <v>1974</v>
      </c>
      <c r="C334" t="s">
        <v>1977</v>
      </c>
      <c r="D334">
        <v>1</v>
      </c>
      <c r="E334" t="s">
        <v>1447</v>
      </c>
      <c r="F334" t="s">
        <v>1980</v>
      </c>
      <c r="G334" t="s">
        <v>1913</v>
      </c>
      <c r="H334" t="s">
        <v>1799</v>
      </c>
      <c r="I334" t="s">
        <v>1799</v>
      </c>
      <c r="J334">
        <v>1430894</v>
      </c>
      <c r="K334" t="s">
        <v>1799</v>
      </c>
      <c r="L334" t="s">
        <v>1799</v>
      </c>
      <c r="M334" t="s">
        <v>1799</v>
      </c>
      <c r="N334" t="s">
        <v>1799</v>
      </c>
      <c r="O334" s="184" t="str">
        <f>"["&amp;$C334&amp;"]["&amp;$D334&amp;"]["&amp;$F334&amp;"]"</f>
        <v>[S05_BiomassInstallations][1][EmissionsBiomassSustainabilitySatisfied]</v>
      </c>
    </row>
    <row r="335" spans="1:15" x14ac:dyDescent="0.3">
      <c r="A335" t="s">
        <v>1793</v>
      </c>
      <c r="B335" t="s">
        <v>1974</v>
      </c>
      <c r="C335" t="s">
        <v>1977</v>
      </c>
      <c r="D335">
        <v>2</v>
      </c>
      <c r="E335" t="s">
        <v>1447</v>
      </c>
      <c r="F335" t="s">
        <v>1980</v>
      </c>
      <c r="G335" t="s">
        <v>1913</v>
      </c>
      <c r="H335" t="s">
        <v>1799</v>
      </c>
      <c r="I335" t="s">
        <v>1799</v>
      </c>
      <c r="J335">
        <v>67</v>
      </c>
      <c r="K335" t="s">
        <v>1799</v>
      </c>
      <c r="L335" t="s">
        <v>1799</v>
      </c>
      <c r="M335" t="s">
        <v>1799</v>
      </c>
      <c r="N335" t="s">
        <v>1799</v>
      </c>
      <c r="O335" s="184" t="str">
        <f>"["&amp;$C335&amp;"]["&amp;$D335&amp;"]["&amp;$F335&amp;"]"</f>
        <v>[S05_BiomassInstallations][2][EmissionsBiomassSustainabilitySatisfied]</v>
      </c>
    </row>
    <row r="336" spans="1:15" x14ac:dyDescent="0.3">
      <c r="A336" t="s">
        <v>1793</v>
      </c>
      <c r="B336" t="s">
        <v>1974</v>
      </c>
      <c r="C336" t="s">
        <v>1977</v>
      </c>
      <c r="D336">
        <v>3</v>
      </c>
      <c r="E336" t="s">
        <v>1447</v>
      </c>
      <c r="F336" t="s">
        <v>1980</v>
      </c>
      <c r="G336" t="s">
        <v>1913</v>
      </c>
      <c r="H336" t="s">
        <v>1799</v>
      </c>
      <c r="I336" t="s">
        <v>1799</v>
      </c>
      <c r="J336">
        <v>666757</v>
      </c>
      <c r="K336" t="s">
        <v>1799</v>
      </c>
      <c r="L336" t="s">
        <v>1799</v>
      </c>
      <c r="M336" t="s">
        <v>1799</v>
      </c>
      <c r="N336" t="s">
        <v>1799</v>
      </c>
      <c r="O336" s="184" t="str">
        <f>"["&amp;$C336&amp;"]["&amp;$D336&amp;"]["&amp;$F336&amp;"]"</f>
        <v>[S05_BiomassInstallations][3][EmissionsBiomassSustainabilitySatisfied]</v>
      </c>
    </row>
    <row r="337" spans="1:15" x14ac:dyDescent="0.3">
      <c r="A337" t="s">
        <v>1793</v>
      </c>
      <c r="B337" t="s">
        <v>1974</v>
      </c>
      <c r="C337" t="s">
        <v>1977</v>
      </c>
      <c r="D337">
        <v>4</v>
      </c>
      <c r="E337" t="s">
        <v>1447</v>
      </c>
      <c r="F337" t="s">
        <v>1980</v>
      </c>
      <c r="G337" t="s">
        <v>1913</v>
      </c>
      <c r="H337" t="s">
        <v>1799</v>
      </c>
      <c r="I337" t="s">
        <v>1799</v>
      </c>
      <c r="J337">
        <v>196</v>
      </c>
      <c r="K337" t="s">
        <v>1799</v>
      </c>
      <c r="L337" t="s">
        <v>1799</v>
      </c>
      <c r="M337" t="s">
        <v>1799</v>
      </c>
      <c r="N337" t="s">
        <v>1799</v>
      </c>
      <c r="O337" s="184" t="str">
        <f>"["&amp;$C337&amp;"]["&amp;$D337&amp;"]["&amp;$F337&amp;"]"</f>
        <v>[S05_BiomassInstallations][4][EmissionsBiomassSustainabilitySatisfied]</v>
      </c>
    </row>
    <row r="338" spans="1:15" x14ac:dyDescent="0.3">
      <c r="A338" t="s">
        <v>1793</v>
      </c>
      <c r="B338" t="s">
        <v>1974</v>
      </c>
      <c r="C338" t="s">
        <v>1977</v>
      </c>
      <c r="D338">
        <v>5</v>
      </c>
      <c r="E338" t="s">
        <v>1447</v>
      </c>
      <c r="F338" t="s">
        <v>1980</v>
      </c>
      <c r="G338" t="s">
        <v>1913</v>
      </c>
      <c r="H338" t="s">
        <v>1799</v>
      </c>
      <c r="I338" t="s">
        <v>1799</v>
      </c>
      <c r="J338">
        <v>239481</v>
      </c>
      <c r="K338" t="s">
        <v>1799</v>
      </c>
      <c r="L338" t="s">
        <v>1799</v>
      </c>
      <c r="M338" t="s">
        <v>1799</v>
      </c>
      <c r="N338" t="s">
        <v>1799</v>
      </c>
      <c r="O338" s="184" t="str">
        <f>"["&amp;$C338&amp;"]["&amp;$D338&amp;"]["&amp;$F338&amp;"]"</f>
        <v>[S05_BiomassInstallations][5][EmissionsBiomassSustainabilitySatisfied]</v>
      </c>
    </row>
    <row r="339" spans="1:15" x14ac:dyDescent="0.3">
      <c r="A339" t="s">
        <v>1793</v>
      </c>
      <c r="B339" t="s">
        <v>1974</v>
      </c>
      <c r="C339" t="s">
        <v>1977</v>
      </c>
      <c r="D339">
        <v>6</v>
      </c>
      <c r="E339" t="s">
        <v>1447</v>
      </c>
      <c r="F339" t="s">
        <v>1980</v>
      </c>
      <c r="G339" t="s">
        <v>1913</v>
      </c>
      <c r="H339" t="s">
        <v>1799</v>
      </c>
      <c r="I339" t="s">
        <v>1799</v>
      </c>
      <c r="J339">
        <v>3459</v>
      </c>
      <c r="K339" t="s">
        <v>1799</v>
      </c>
      <c r="L339" t="s">
        <v>1799</v>
      </c>
      <c r="M339" t="s">
        <v>1799</v>
      </c>
      <c r="N339" t="s">
        <v>1799</v>
      </c>
      <c r="O339" s="184" t="str">
        <f>"["&amp;$C339&amp;"]["&amp;$D339&amp;"]["&amp;$F339&amp;"]"</f>
        <v>[S05_BiomassInstallations][6][EmissionsBiomassSustainabilitySatisfied]</v>
      </c>
    </row>
    <row r="340" spans="1:15" x14ac:dyDescent="0.3">
      <c r="A340" t="s">
        <v>1793</v>
      </c>
      <c r="B340" t="s">
        <v>1974</v>
      </c>
      <c r="C340" t="s">
        <v>1977</v>
      </c>
      <c r="D340">
        <v>1</v>
      </c>
      <c r="E340" t="s">
        <v>1447</v>
      </c>
      <c r="F340" t="s">
        <v>1981</v>
      </c>
      <c r="G340" t="s">
        <v>1913</v>
      </c>
      <c r="H340" t="s">
        <v>1799</v>
      </c>
      <c r="I340" t="s">
        <v>1799</v>
      </c>
      <c r="J340">
        <v>0</v>
      </c>
      <c r="K340" t="s">
        <v>1799</v>
      </c>
      <c r="L340" t="s">
        <v>1799</v>
      </c>
      <c r="M340" t="s">
        <v>1799</v>
      </c>
      <c r="N340" t="s">
        <v>1799</v>
      </c>
      <c r="O340" s="184" t="str">
        <f>"["&amp;$C340&amp;"]["&amp;$D340&amp;"]["&amp;$F340&amp;"]"</f>
        <v>[S05_BiomassInstallations][1][EmissionsBiomassSustainabilityNotSatisfied]</v>
      </c>
    </row>
    <row r="341" spans="1:15" x14ac:dyDescent="0.3">
      <c r="A341" t="s">
        <v>1793</v>
      </c>
      <c r="B341" t="s">
        <v>1974</v>
      </c>
      <c r="C341" t="s">
        <v>1977</v>
      </c>
      <c r="D341">
        <v>2</v>
      </c>
      <c r="E341" t="s">
        <v>1447</v>
      </c>
      <c r="F341" t="s">
        <v>1981</v>
      </c>
      <c r="G341" t="s">
        <v>1913</v>
      </c>
      <c r="H341" t="s">
        <v>1799</v>
      </c>
      <c r="I341" t="s">
        <v>1799</v>
      </c>
      <c r="J341">
        <v>0</v>
      </c>
      <c r="K341" t="s">
        <v>1799</v>
      </c>
      <c r="L341" t="s">
        <v>1799</v>
      </c>
      <c r="M341" t="s">
        <v>1799</v>
      </c>
      <c r="N341" t="s">
        <v>1799</v>
      </c>
      <c r="O341" s="184" t="str">
        <f>"["&amp;$C341&amp;"]["&amp;$D341&amp;"]["&amp;$F341&amp;"]"</f>
        <v>[S05_BiomassInstallations][2][EmissionsBiomassSustainabilityNotSatisfied]</v>
      </c>
    </row>
    <row r="342" spans="1:15" x14ac:dyDescent="0.3">
      <c r="A342" t="s">
        <v>1793</v>
      </c>
      <c r="B342" t="s">
        <v>1974</v>
      </c>
      <c r="C342" t="s">
        <v>1977</v>
      </c>
      <c r="D342">
        <v>3</v>
      </c>
      <c r="E342" t="s">
        <v>1447</v>
      </c>
      <c r="F342" t="s">
        <v>1981</v>
      </c>
      <c r="G342" t="s">
        <v>1913</v>
      </c>
      <c r="H342" t="s">
        <v>1799</v>
      </c>
      <c r="I342" t="s">
        <v>1799</v>
      </c>
      <c r="J342">
        <v>0</v>
      </c>
      <c r="K342" t="s">
        <v>1799</v>
      </c>
      <c r="L342" t="s">
        <v>1799</v>
      </c>
      <c r="M342" t="s">
        <v>1799</v>
      </c>
      <c r="N342" t="s">
        <v>1799</v>
      </c>
      <c r="O342" s="184" t="str">
        <f>"["&amp;$C342&amp;"]["&amp;$D342&amp;"]["&amp;$F342&amp;"]"</f>
        <v>[S05_BiomassInstallations][3][EmissionsBiomassSustainabilityNotSatisfied]</v>
      </c>
    </row>
    <row r="343" spans="1:15" x14ac:dyDescent="0.3">
      <c r="A343" t="s">
        <v>1793</v>
      </c>
      <c r="B343" t="s">
        <v>1974</v>
      </c>
      <c r="C343" t="s">
        <v>1977</v>
      </c>
      <c r="D343">
        <v>4</v>
      </c>
      <c r="E343" t="s">
        <v>1447</v>
      </c>
      <c r="F343" t="s">
        <v>1981</v>
      </c>
      <c r="G343" t="s">
        <v>1913</v>
      </c>
      <c r="H343" t="s">
        <v>1799</v>
      </c>
      <c r="I343" t="s">
        <v>1799</v>
      </c>
      <c r="J343">
        <v>0</v>
      </c>
      <c r="K343" t="s">
        <v>1799</v>
      </c>
      <c r="L343" t="s">
        <v>1799</v>
      </c>
      <c r="M343" t="s">
        <v>1799</v>
      </c>
      <c r="N343" t="s">
        <v>1799</v>
      </c>
      <c r="O343" s="184" t="str">
        <f>"["&amp;$C343&amp;"]["&amp;$D343&amp;"]["&amp;$F343&amp;"]"</f>
        <v>[S05_BiomassInstallations][4][EmissionsBiomassSustainabilityNotSatisfied]</v>
      </c>
    </row>
    <row r="344" spans="1:15" x14ac:dyDescent="0.3">
      <c r="A344" t="s">
        <v>1793</v>
      </c>
      <c r="B344" t="s">
        <v>1974</v>
      </c>
      <c r="C344" t="s">
        <v>1977</v>
      </c>
      <c r="D344">
        <v>5</v>
      </c>
      <c r="E344" t="s">
        <v>1447</v>
      </c>
      <c r="F344" t="s">
        <v>1981</v>
      </c>
      <c r="G344" t="s">
        <v>1913</v>
      </c>
      <c r="H344" t="s">
        <v>1799</v>
      </c>
      <c r="I344" t="s">
        <v>1799</v>
      </c>
      <c r="J344">
        <v>0</v>
      </c>
      <c r="K344" t="s">
        <v>1799</v>
      </c>
      <c r="L344" t="s">
        <v>1799</v>
      </c>
      <c r="M344" t="s">
        <v>1799</v>
      </c>
      <c r="N344" t="s">
        <v>1799</v>
      </c>
      <c r="O344" s="184" t="str">
        <f>"["&amp;$C344&amp;"]["&amp;$D344&amp;"]["&amp;$F344&amp;"]"</f>
        <v>[S05_BiomassInstallations][5][EmissionsBiomassSustainabilityNotSatisfied]</v>
      </c>
    </row>
    <row r="345" spans="1:15" x14ac:dyDescent="0.3">
      <c r="A345" t="s">
        <v>1793</v>
      </c>
      <c r="B345" t="s">
        <v>1974</v>
      </c>
      <c r="C345" t="s">
        <v>1977</v>
      </c>
      <c r="D345">
        <v>6</v>
      </c>
      <c r="E345" t="s">
        <v>1447</v>
      </c>
      <c r="F345" t="s">
        <v>1981</v>
      </c>
      <c r="G345" t="s">
        <v>1913</v>
      </c>
      <c r="H345" t="s">
        <v>1799</v>
      </c>
      <c r="I345" t="s">
        <v>1799</v>
      </c>
      <c r="J345">
        <v>0</v>
      </c>
      <c r="K345" t="s">
        <v>1799</v>
      </c>
      <c r="L345" t="s">
        <v>1799</v>
      </c>
      <c r="M345" t="s">
        <v>1799</v>
      </c>
      <c r="N345" t="s">
        <v>1799</v>
      </c>
      <c r="O345" s="184" t="str">
        <f>"["&amp;$C345&amp;"]["&amp;$D345&amp;"]["&amp;$F345&amp;"]"</f>
        <v>[S05_BiomassInstallations][6][EmissionsBiomassSustainabilityNotSatisfied]</v>
      </c>
    </row>
    <row r="346" spans="1:15" x14ac:dyDescent="0.3">
      <c r="A346" t="s">
        <v>1793</v>
      </c>
      <c r="B346" t="s">
        <v>1974</v>
      </c>
      <c r="C346" t="s">
        <v>1977</v>
      </c>
      <c r="D346">
        <v>1</v>
      </c>
      <c r="E346" t="s">
        <v>1447</v>
      </c>
      <c r="F346" t="s">
        <v>1982</v>
      </c>
      <c r="G346" t="s">
        <v>1913</v>
      </c>
      <c r="H346" t="s">
        <v>1799</v>
      </c>
      <c r="I346" t="s">
        <v>1799</v>
      </c>
      <c r="J346">
        <v>104659</v>
      </c>
      <c r="K346" t="s">
        <v>1799</v>
      </c>
      <c r="L346" t="s">
        <v>1799</v>
      </c>
      <c r="M346" t="s">
        <v>1799</v>
      </c>
      <c r="N346" t="s">
        <v>1799</v>
      </c>
      <c r="O346" s="184" t="str">
        <f>"["&amp;$C346&amp;"]["&amp;$D346&amp;"]["&amp;$F346&amp;"]"</f>
        <v>[S05_BiomassInstallations][1][EmissionsFossil]</v>
      </c>
    </row>
    <row r="347" spans="1:15" x14ac:dyDescent="0.3">
      <c r="A347" t="s">
        <v>1793</v>
      </c>
      <c r="B347" t="s">
        <v>1974</v>
      </c>
      <c r="C347" t="s">
        <v>1977</v>
      </c>
      <c r="D347">
        <v>2</v>
      </c>
      <c r="E347" t="s">
        <v>1447</v>
      </c>
      <c r="F347" t="s">
        <v>1982</v>
      </c>
      <c r="G347" t="s">
        <v>1913</v>
      </c>
      <c r="H347" t="s">
        <v>1799</v>
      </c>
      <c r="I347" t="s">
        <v>1799</v>
      </c>
      <c r="J347">
        <v>159357</v>
      </c>
      <c r="K347" t="s">
        <v>1799</v>
      </c>
      <c r="L347" t="s">
        <v>1799</v>
      </c>
      <c r="M347" t="s">
        <v>1799</v>
      </c>
      <c r="N347" t="s">
        <v>1799</v>
      </c>
      <c r="O347" s="184" t="str">
        <f>"["&amp;$C347&amp;"]["&amp;$D347&amp;"]["&amp;$F347&amp;"]"</f>
        <v>[S05_BiomassInstallations][2][EmissionsFossil]</v>
      </c>
    </row>
    <row r="348" spans="1:15" x14ac:dyDescent="0.3">
      <c r="A348" t="s">
        <v>1793</v>
      </c>
      <c r="B348" t="s">
        <v>1974</v>
      </c>
      <c r="C348" t="s">
        <v>1977</v>
      </c>
      <c r="D348">
        <v>3</v>
      </c>
      <c r="E348" t="s">
        <v>1447</v>
      </c>
      <c r="F348" t="s">
        <v>1982</v>
      </c>
      <c r="G348" t="s">
        <v>1913</v>
      </c>
      <c r="H348" t="s">
        <v>1799</v>
      </c>
      <c r="I348" t="s">
        <v>1799</v>
      </c>
      <c r="J348">
        <v>4139471</v>
      </c>
      <c r="K348" t="s">
        <v>1799</v>
      </c>
      <c r="L348" t="s">
        <v>1799</v>
      </c>
      <c r="M348" t="s">
        <v>1799</v>
      </c>
      <c r="N348" t="s">
        <v>1799</v>
      </c>
      <c r="O348" s="184" t="str">
        <f>"["&amp;$C348&amp;"]["&amp;$D348&amp;"]["&amp;$F348&amp;"]"</f>
        <v>[S05_BiomassInstallations][3][EmissionsFossil]</v>
      </c>
    </row>
    <row r="349" spans="1:15" x14ac:dyDescent="0.3">
      <c r="A349" t="s">
        <v>1793</v>
      </c>
      <c r="B349" t="s">
        <v>1974</v>
      </c>
      <c r="C349" t="s">
        <v>1977</v>
      </c>
      <c r="D349">
        <v>4</v>
      </c>
      <c r="E349" t="s">
        <v>1447</v>
      </c>
      <c r="F349" t="s">
        <v>1982</v>
      </c>
      <c r="G349" t="s">
        <v>1913</v>
      </c>
      <c r="H349" t="s">
        <v>1799</v>
      </c>
      <c r="I349" t="s">
        <v>1799</v>
      </c>
      <c r="J349">
        <v>27834</v>
      </c>
      <c r="K349" t="s">
        <v>1799</v>
      </c>
      <c r="L349" t="s">
        <v>1799</v>
      </c>
      <c r="M349" t="s">
        <v>1799</v>
      </c>
      <c r="N349" t="s">
        <v>1799</v>
      </c>
      <c r="O349" s="184" t="str">
        <f>"["&amp;$C349&amp;"]["&amp;$D349&amp;"]["&amp;$F349&amp;"]"</f>
        <v>[S05_BiomassInstallations][4][EmissionsFossil]</v>
      </c>
    </row>
    <row r="350" spans="1:15" x14ac:dyDescent="0.3">
      <c r="A350" t="s">
        <v>1793</v>
      </c>
      <c r="B350" t="s">
        <v>1974</v>
      </c>
      <c r="C350" t="s">
        <v>1977</v>
      </c>
      <c r="D350">
        <v>5</v>
      </c>
      <c r="E350" t="s">
        <v>1447</v>
      </c>
      <c r="F350" t="s">
        <v>1982</v>
      </c>
      <c r="G350" t="s">
        <v>1913</v>
      </c>
      <c r="H350" t="s">
        <v>1799</v>
      </c>
      <c r="I350" t="s">
        <v>1799</v>
      </c>
      <c r="J350">
        <v>12888</v>
      </c>
      <c r="K350" t="s">
        <v>1799</v>
      </c>
      <c r="L350" t="s">
        <v>1799</v>
      </c>
      <c r="M350" t="s">
        <v>1799</v>
      </c>
      <c r="N350" t="s">
        <v>1799</v>
      </c>
      <c r="O350" s="184" t="str">
        <f>"["&amp;$C350&amp;"]["&amp;$D350&amp;"]["&amp;$F350&amp;"]"</f>
        <v>[S05_BiomassInstallations][5][EmissionsFossil]</v>
      </c>
    </row>
    <row r="351" spans="1:15" x14ac:dyDescent="0.3">
      <c r="A351" t="s">
        <v>1793</v>
      </c>
      <c r="B351" t="s">
        <v>1974</v>
      </c>
      <c r="C351" t="s">
        <v>1977</v>
      </c>
      <c r="D351">
        <v>6</v>
      </c>
      <c r="E351" t="s">
        <v>1447</v>
      </c>
      <c r="F351" t="s">
        <v>1982</v>
      </c>
      <c r="G351" t="s">
        <v>1913</v>
      </c>
      <c r="H351" t="s">
        <v>1799</v>
      </c>
      <c r="I351" t="s">
        <v>1799</v>
      </c>
      <c r="J351">
        <v>642</v>
      </c>
      <c r="K351" t="s">
        <v>1799</v>
      </c>
      <c r="L351" t="s">
        <v>1799</v>
      </c>
      <c r="M351" t="s">
        <v>1799</v>
      </c>
      <c r="N351" t="s">
        <v>1799</v>
      </c>
      <c r="O351" s="184" t="str">
        <f>"["&amp;$C351&amp;"]["&amp;$D351&amp;"]["&amp;$F351&amp;"]"</f>
        <v>[S05_BiomassInstallations][6][EmissionsFossil]</v>
      </c>
    </row>
    <row r="352" spans="1:15" x14ac:dyDescent="0.3">
      <c r="A352" t="s">
        <v>1793</v>
      </c>
      <c r="B352" t="s">
        <v>1974</v>
      </c>
      <c r="C352" t="s">
        <v>1977</v>
      </c>
      <c r="D352">
        <v>1</v>
      </c>
      <c r="E352" t="s">
        <v>1447</v>
      </c>
      <c r="F352" t="s">
        <v>1983</v>
      </c>
      <c r="G352" t="s">
        <v>1913</v>
      </c>
      <c r="H352" t="s">
        <v>1799</v>
      </c>
      <c r="I352" t="s">
        <v>1799</v>
      </c>
      <c r="J352">
        <v>13061</v>
      </c>
      <c r="K352" t="s">
        <v>1799</v>
      </c>
      <c r="L352" t="s">
        <v>1799</v>
      </c>
      <c r="M352" t="s">
        <v>1799</v>
      </c>
      <c r="N352" t="s">
        <v>1799</v>
      </c>
      <c r="O352" s="184" t="str">
        <f>"["&amp;$C352&amp;"]["&amp;$D352&amp;"]["&amp;$F352&amp;"]"</f>
        <v>[S05_BiomassInstallations][1][EnergyZeroRatedBiomass]</v>
      </c>
    </row>
    <row r="353" spans="1:15" x14ac:dyDescent="0.3">
      <c r="A353" t="s">
        <v>1793</v>
      </c>
      <c r="B353" t="s">
        <v>1974</v>
      </c>
      <c r="C353" t="s">
        <v>1977</v>
      </c>
      <c r="D353">
        <v>2</v>
      </c>
      <c r="E353" t="s">
        <v>1447</v>
      </c>
      <c r="F353" t="s">
        <v>1983</v>
      </c>
      <c r="G353" t="s">
        <v>1913</v>
      </c>
      <c r="H353" t="s">
        <v>1799</v>
      </c>
      <c r="I353" t="s">
        <v>1799</v>
      </c>
      <c r="J353">
        <v>0.6</v>
      </c>
      <c r="K353" t="s">
        <v>1799</v>
      </c>
      <c r="L353" t="s">
        <v>1799</v>
      </c>
      <c r="M353" t="s">
        <v>1799</v>
      </c>
      <c r="N353" t="s">
        <v>1799</v>
      </c>
      <c r="O353" s="184" t="str">
        <f>"["&amp;$C353&amp;"]["&amp;$D353&amp;"]["&amp;$F353&amp;"]"</f>
        <v>[S05_BiomassInstallations][2][EnergyZeroRatedBiomass]</v>
      </c>
    </row>
    <row r="354" spans="1:15" x14ac:dyDescent="0.3">
      <c r="A354" t="s">
        <v>1793</v>
      </c>
      <c r="B354" t="s">
        <v>1974</v>
      </c>
      <c r="C354" t="s">
        <v>1977</v>
      </c>
      <c r="D354">
        <v>3</v>
      </c>
      <c r="E354" t="s">
        <v>1447</v>
      </c>
      <c r="F354" t="s">
        <v>1983</v>
      </c>
      <c r="G354" t="s">
        <v>1913</v>
      </c>
      <c r="H354" t="s">
        <v>1799</v>
      </c>
      <c r="I354" t="s">
        <v>1799</v>
      </c>
      <c r="J354">
        <v>6086</v>
      </c>
      <c r="K354" t="s">
        <v>1799</v>
      </c>
      <c r="L354" t="s">
        <v>1799</v>
      </c>
      <c r="M354" t="s">
        <v>1799</v>
      </c>
      <c r="N354" t="s">
        <v>1799</v>
      </c>
      <c r="O354" s="184" t="str">
        <f>"["&amp;$C354&amp;"]["&amp;$D354&amp;"]["&amp;$F354&amp;"]"</f>
        <v>[S05_BiomassInstallations][3][EnergyZeroRatedBiomass]</v>
      </c>
    </row>
    <row r="355" spans="1:15" x14ac:dyDescent="0.3">
      <c r="A355" t="s">
        <v>1793</v>
      </c>
      <c r="B355" t="s">
        <v>1974</v>
      </c>
      <c r="C355" t="s">
        <v>1977</v>
      </c>
      <c r="D355">
        <v>4</v>
      </c>
      <c r="E355" t="s">
        <v>1447</v>
      </c>
      <c r="F355" t="s">
        <v>1983</v>
      </c>
      <c r="G355" t="s">
        <v>1913</v>
      </c>
      <c r="H355" t="s">
        <v>1799</v>
      </c>
      <c r="I355" t="s">
        <v>1799</v>
      </c>
      <c r="J355">
        <v>3.59</v>
      </c>
      <c r="K355" t="s">
        <v>1799</v>
      </c>
      <c r="L355" t="s">
        <v>1799</v>
      </c>
      <c r="M355" t="s">
        <v>1799</v>
      </c>
      <c r="N355" t="s">
        <v>1799</v>
      </c>
      <c r="O355" s="184" t="str">
        <f>"["&amp;$C355&amp;"]["&amp;$D355&amp;"]["&amp;$F355&amp;"]"</f>
        <v>[S05_BiomassInstallations][4][EnergyZeroRatedBiomass]</v>
      </c>
    </row>
    <row r="356" spans="1:15" x14ac:dyDescent="0.3">
      <c r="A356" t="s">
        <v>1793</v>
      </c>
      <c r="B356" t="s">
        <v>1974</v>
      </c>
      <c r="C356" t="s">
        <v>1977</v>
      </c>
      <c r="D356">
        <v>5</v>
      </c>
      <c r="E356" t="s">
        <v>1447</v>
      </c>
      <c r="F356" t="s">
        <v>1983</v>
      </c>
      <c r="G356" t="s">
        <v>1913</v>
      </c>
      <c r="H356" t="s">
        <v>1799</v>
      </c>
      <c r="I356" t="s">
        <v>1799</v>
      </c>
      <c r="J356">
        <v>2260</v>
      </c>
      <c r="K356" t="s">
        <v>1799</v>
      </c>
      <c r="L356" t="s">
        <v>1799</v>
      </c>
      <c r="M356" t="s">
        <v>1799</v>
      </c>
      <c r="N356" t="s">
        <v>1799</v>
      </c>
      <c r="O356" s="184" t="str">
        <f>"["&amp;$C356&amp;"]["&amp;$D356&amp;"]["&amp;$F356&amp;"]"</f>
        <v>[S05_BiomassInstallations][5][EnergyZeroRatedBiomass]</v>
      </c>
    </row>
    <row r="357" spans="1:15" x14ac:dyDescent="0.3">
      <c r="A357" t="s">
        <v>1793</v>
      </c>
      <c r="B357" t="s">
        <v>1974</v>
      </c>
      <c r="C357" t="s">
        <v>1977</v>
      </c>
      <c r="D357">
        <v>6</v>
      </c>
      <c r="E357" t="s">
        <v>1447</v>
      </c>
      <c r="F357" t="s">
        <v>1983</v>
      </c>
      <c r="G357" t="s">
        <v>1913</v>
      </c>
      <c r="H357" t="s">
        <v>1799</v>
      </c>
      <c r="I357" t="s">
        <v>1799</v>
      </c>
      <c r="J357">
        <v>30.89</v>
      </c>
      <c r="K357" t="s">
        <v>1799</v>
      </c>
      <c r="L357" t="s">
        <v>1799</v>
      </c>
      <c r="M357" t="s">
        <v>1799</v>
      </c>
      <c r="N357" t="s">
        <v>1799</v>
      </c>
      <c r="O357" s="184" t="str">
        <f>"["&amp;$C357&amp;"]["&amp;$D357&amp;"]["&amp;$F357&amp;"]"</f>
        <v>[S05_BiomassInstallations][6][EnergyZeroRatedBiomass]</v>
      </c>
    </row>
    <row r="358" spans="1:15" x14ac:dyDescent="0.3">
      <c r="A358" t="s">
        <v>1793</v>
      </c>
      <c r="B358" t="s">
        <v>1974</v>
      </c>
      <c r="C358" t="s">
        <v>1977</v>
      </c>
      <c r="D358">
        <v>1</v>
      </c>
      <c r="E358" t="s">
        <v>1447</v>
      </c>
      <c r="F358" t="s">
        <v>1984</v>
      </c>
      <c r="G358" t="s">
        <v>1913</v>
      </c>
      <c r="H358" t="s">
        <v>1799</v>
      </c>
      <c r="I358" t="s">
        <v>1799</v>
      </c>
      <c r="J358">
        <v>0</v>
      </c>
      <c r="K358" t="s">
        <v>1799</v>
      </c>
      <c r="L358" t="s">
        <v>1799</v>
      </c>
      <c r="M358" t="s">
        <v>1799</v>
      </c>
      <c r="N358" t="s">
        <v>1799</v>
      </c>
      <c r="O358" s="184" t="str">
        <f>"["&amp;$C358&amp;"]["&amp;$D358&amp;"]["&amp;$F358&amp;"]"</f>
        <v>[S05_BiomassInstallations][1][EnergyNonZeroRatedBiomass]</v>
      </c>
    </row>
    <row r="359" spans="1:15" x14ac:dyDescent="0.3">
      <c r="A359" t="s">
        <v>1793</v>
      </c>
      <c r="B359" t="s">
        <v>1974</v>
      </c>
      <c r="C359" t="s">
        <v>1977</v>
      </c>
      <c r="D359">
        <v>2</v>
      </c>
      <c r="E359" t="s">
        <v>1447</v>
      </c>
      <c r="F359" t="s">
        <v>1984</v>
      </c>
      <c r="G359" t="s">
        <v>1913</v>
      </c>
      <c r="H359" t="s">
        <v>1799</v>
      </c>
      <c r="I359" t="s">
        <v>1799</v>
      </c>
      <c r="J359">
        <v>0</v>
      </c>
      <c r="K359" t="s">
        <v>1799</v>
      </c>
      <c r="L359" t="s">
        <v>1799</v>
      </c>
      <c r="M359" t="s">
        <v>1799</v>
      </c>
      <c r="N359" t="s">
        <v>1799</v>
      </c>
      <c r="O359" s="184" t="str">
        <f>"["&amp;$C359&amp;"]["&amp;$D359&amp;"]["&amp;$F359&amp;"]"</f>
        <v>[S05_BiomassInstallations][2][EnergyNonZeroRatedBiomass]</v>
      </c>
    </row>
    <row r="360" spans="1:15" x14ac:dyDescent="0.3">
      <c r="A360" t="s">
        <v>1793</v>
      </c>
      <c r="B360" t="s">
        <v>1974</v>
      </c>
      <c r="C360" t="s">
        <v>1977</v>
      </c>
      <c r="D360">
        <v>3</v>
      </c>
      <c r="E360" t="s">
        <v>1447</v>
      </c>
      <c r="F360" t="s">
        <v>1984</v>
      </c>
      <c r="G360" t="s">
        <v>1913</v>
      </c>
      <c r="H360" t="s">
        <v>1799</v>
      </c>
      <c r="I360" t="s">
        <v>1799</v>
      </c>
      <c r="J360">
        <v>0</v>
      </c>
      <c r="K360" t="s">
        <v>1799</v>
      </c>
      <c r="L360" t="s">
        <v>1799</v>
      </c>
      <c r="M360" t="s">
        <v>1799</v>
      </c>
      <c r="N360" t="s">
        <v>1799</v>
      </c>
      <c r="O360" s="184" t="str">
        <f>"["&amp;$C360&amp;"]["&amp;$D360&amp;"]["&amp;$F360&amp;"]"</f>
        <v>[S05_BiomassInstallations][3][EnergyNonZeroRatedBiomass]</v>
      </c>
    </row>
    <row r="361" spans="1:15" x14ac:dyDescent="0.3">
      <c r="A361" t="s">
        <v>1793</v>
      </c>
      <c r="B361" t="s">
        <v>1974</v>
      </c>
      <c r="C361" t="s">
        <v>1977</v>
      </c>
      <c r="D361">
        <v>4</v>
      </c>
      <c r="E361" t="s">
        <v>1447</v>
      </c>
      <c r="F361" t="s">
        <v>1984</v>
      </c>
      <c r="G361" t="s">
        <v>1913</v>
      </c>
      <c r="H361" t="s">
        <v>1799</v>
      </c>
      <c r="I361" t="s">
        <v>1799</v>
      </c>
      <c r="J361">
        <v>0</v>
      </c>
      <c r="K361" t="s">
        <v>1799</v>
      </c>
      <c r="L361" t="s">
        <v>1799</v>
      </c>
      <c r="M361" t="s">
        <v>1799</v>
      </c>
      <c r="N361" t="s">
        <v>1799</v>
      </c>
      <c r="O361" s="184" t="str">
        <f>"["&amp;$C361&amp;"]["&amp;$D361&amp;"]["&amp;$F361&amp;"]"</f>
        <v>[S05_BiomassInstallations][4][EnergyNonZeroRatedBiomass]</v>
      </c>
    </row>
    <row r="362" spans="1:15" x14ac:dyDescent="0.3">
      <c r="A362" t="s">
        <v>1793</v>
      </c>
      <c r="B362" t="s">
        <v>1974</v>
      </c>
      <c r="C362" t="s">
        <v>1977</v>
      </c>
      <c r="D362">
        <v>5</v>
      </c>
      <c r="E362" t="s">
        <v>1447</v>
      </c>
      <c r="F362" t="s">
        <v>1984</v>
      </c>
      <c r="G362" t="s">
        <v>1913</v>
      </c>
      <c r="H362" t="s">
        <v>1799</v>
      </c>
      <c r="I362" t="s">
        <v>1799</v>
      </c>
      <c r="J362">
        <v>0</v>
      </c>
      <c r="K362" t="s">
        <v>1799</v>
      </c>
      <c r="L362" t="s">
        <v>1799</v>
      </c>
      <c r="M362" t="s">
        <v>1799</v>
      </c>
      <c r="N362" t="s">
        <v>1799</v>
      </c>
      <c r="O362" s="184" t="str">
        <f>"["&amp;$C362&amp;"]["&amp;$D362&amp;"]["&amp;$F362&amp;"]"</f>
        <v>[S05_BiomassInstallations][5][EnergyNonZeroRatedBiomass]</v>
      </c>
    </row>
    <row r="363" spans="1:15" x14ac:dyDescent="0.3">
      <c r="A363" t="s">
        <v>1793</v>
      </c>
      <c r="B363" t="s">
        <v>1974</v>
      </c>
      <c r="C363" t="s">
        <v>1977</v>
      </c>
      <c r="D363">
        <v>6</v>
      </c>
      <c r="E363" t="s">
        <v>1447</v>
      </c>
      <c r="F363" t="s">
        <v>1984</v>
      </c>
      <c r="G363" t="s">
        <v>1913</v>
      </c>
      <c r="H363" t="s">
        <v>1799</v>
      </c>
      <c r="I363" t="s">
        <v>1799</v>
      </c>
      <c r="J363">
        <v>0</v>
      </c>
      <c r="K363" t="s">
        <v>1799</v>
      </c>
      <c r="L363" t="s">
        <v>1799</v>
      </c>
      <c r="M363" t="s">
        <v>1799</v>
      </c>
      <c r="N363" t="s">
        <v>1799</v>
      </c>
      <c r="O363" s="184" t="str">
        <f>"["&amp;$C363&amp;"]["&amp;$D363&amp;"]["&amp;$F363&amp;"]"</f>
        <v>[S05_BiomassInstallations][6][EnergyNonZeroRatedBiomass]</v>
      </c>
    </row>
    <row r="364" spans="1:15" x14ac:dyDescent="0.3">
      <c r="A364" t="s">
        <v>1793</v>
      </c>
      <c r="B364" t="s">
        <v>1974</v>
      </c>
      <c r="C364" t="s">
        <v>1977</v>
      </c>
      <c r="D364">
        <v>1</v>
      </c>
      <c r="E364" t="s">
        <v>1447</v>
      </c>
      <c r="F364" t="s">
        <v>1985</v>
      </c>
      <c r="G364" t="s">
        <v>1913</v>
      </c>
      <c r="H364" t="s">
        <v>1799</v>
      </c>
      <c r="I364" t="s">
        <v>1799</v>
      </c>
      <c r="J364">
        <v>1429</v>
      </c>
      <c r="K364" t="s">
        <v>1799</v>
      </c>
      <c r="L364" t="s">
        <v>1799</v>
      </c>
      <c r="M364" t="s">
        <v>1799</v>
      </c>
      <c r="N364" t="s">
        <v>1799</v>
      </c>
      <c r="O364" s="184" t="str">
        <f>"["&amp;$C364&amp;"]["&amp;$D364&amp;"]["&amp;$F364&amp;"]"</f>
        <v>[S05_BiomassInstallations][1][EnergyFossil]</v>
      </c>
    </row>
    <row r="365" spans="1:15" x14ac:dyDescent="0.3">
      <c r="A365" t="s">
        <v>1793</v>
      </c>
      <c r="B365" t="s">
        <v>1974</v>
      </c>
      <c r="C365" t="s">
        <v>1977</v>
      </c>
      <c r="D365">
        <v>2</v>
      </c>
      <c r="E365" t="s">
        <v>1447</v>
      </c>
      <c r="F365" t="s">
        <v>1985</v>
      </c>
      <c r="G365" t="s">
        <v>1913</v>
      </c>
      <c r="H365" t="s">
        <v>1799</v>
      </c>
      <c r="I365" t="s">
        <v>1799</v>
      </c>
      <c r="J365">
        <v>1211</v>
      </c>
      <c r="K365" t="s">
        <v>1799</v>
      </c>
      <c r="L365" t="s">
        <v>1799</v>
      </c>
      <c r="M365" t="s">
        <v>1799</v>
      </c>
      <c r="N365" t="s">
        <v>1799</v>
      </c>
      <c r="O365" s="184" t="str">
        <f>"["&amp;$C365&amp;"]["&amp;$D365&amp;"]["&amp;$F365&amp;"]"</f>
        <v>[S05_BiomassInstallations][2][EnergyFossil]</v>
      </c>
    </row>
    <row r="366" spans="1:15" x14ac:dyDescent="0.3">
      <c r="A366" t="s">
        <v>1793</v>
      </c>
      <c r="B366" t="s">
        <v>1974</v>
      </c>
      <c r="C366" t="s">
        <v>1977</v>
      </c>
      <c r="D366">
        <v>3</v>
      </c>
      <c r="E366" t="s">
        <v>1447</v>
      </c>
      <c r="F366" t="s">
        <v>1985</v>
      </c>
      <c r="G366" t="s">
        <v>1913</v>
      </c>
      <c r="H366" t="s">
        <v>1799</v>
      </c>
      <c r="I366" t="s">
        <v>1799</v>
      </c>
      <c r="J366">
        <v>42569</v>
      </c>
      <c r="K366" t="s">
        <v>1799</v>
      </c>
      <c r="L366" t="s">
        <v>1799</v>
      </c>
      <c r="M366" t="s">
        <v>1799</v>
      </c>
      <c r="N366" t="s">
        <v>1799</v>
      </c>
      <c r="O366" s="184" t="str">
        <f>"["&amp;$C366&amp;"]["&amp;$D366&amp;"]["&amp;$F366&amp;"]"</f>
        <v>[S05_BiomassInstallations][3][EnergyFossil]</v>
      </c>
    </row>
    <row r="367" spans="1:15" x14ac:dyDescent="0.3">
      <c r="A367" t="s">
        <v>1793</v>
      </c>
      <c r="B367" t="s">
        <v>1974</v>
      </c>
      <c r="C367" t="s">
        <v>1977</v>
      </c>
      <c r="D367">
        <v>4</v>
      </c>
      <c r="E367" t="s">
        <v>1447</v>
      </c>
      <c r="F367" t="s">
        <v>1985</v>
      </c>
      <c r="G367" t="s">
        <v>1913</v>
      </c>
      <c r="H367" t="s">
        <v>1799</v>
      </c>
      <c r="I367" t="s">
        <v>1799</v>
      </c>
      <c r="J367">
        <v>496</v>
      </c>
      <c r="K367" t="s">
        <v>1799</v>
      </c>
      <c r="L367" t="s">
        <v>1799</v>
      </c>
      <c r="M367" t="s">
        <v>1799</v>
      </c>
      <c r="N367" t="s">
        <v>1799</v>
      </c>
      <c r="O367" s="184" t="str">
        <f>"["&amp;$C367&amp;"]["&amp;$D367&amp;"]["&amp;$F367&amp;"]"</f>
        <v>[S05_BiomassInstallations][4][EnergyFossil]</v>
      </c>
    </row>
    <row r="368" spans="1:15" x14ac:dyDescent="0.3">
      <c r="A368" t="s">
        <v>1793</v>
      </c>
      <c r="B368" t="s">
        <v>1974</v>
      </c>
      <c r="C368" t="s">
        <v>1977</v>
      </c>
      <c r="D368">
        <v>5</v>
      </c>
      <c r="E368" t="s">
        <v>1447</v>
      </c>
      <c r="F368" t="s">
        <v>1985</v>
      </c>
      <c r="G368" t="s">
        <v>1913</v>
      </c>
      <c r="H368" t="s">
        <v>1799</v>
      </c>
      <c r="I368" t="s">
        <v>1799</v>
      </c>
      <c r="J368">
        <v>228</v>
      </c>
      <c r="K368" t="s">
        <v>1799</v>
      </c>
      <c r="L368" t="s">
        <v>1799</v>
      </c>
      <c r="M368" t="s">
        <v>1799</v>
      </c>
      <c r="N368" t="s">
        <v>1799</v>
      </c>
      <c r="O368" s="184" t="str">
        <f>"["&amp;$C368&amp;"]["&amp;$D368&amp;"]["&amp;$F368&amp;"]"</f>
        <v>[S05_BiomassInstallations][5][EnergyFossil]</v>
      </c>
    </row>
    <row r="369" spans="1:15" x14ac:dyDescent="0.3">
      <c r="A369" t="s">
        <v>1793</v>
      </c>
      <c r="B369" t="s">
        <v>1974</v>
      </c>
      <c r="C369" t="s">
        <v>1977</v>
      </c>
      <c r="D369">
        <v>6</v>
      </c>
      <c r="E369" t="s">
        <v>1447</v>
      </c>
      <c r="F369" t="s">
        <v>1985</v>
      </c>
      <c r="G369" t="s">
        <v>1913</v>
      </c>
      <c r="H369" t="s">
        <v>1799</v>
      </c>
      <c r="I369" t="s">
        <v>1799</v>
      </c>
      <c r="J369">
        <v>8.3000000000000007</v>
      </c>
      <c r="K369" t="s">
        <v>1799</v>
      </c>
      <c r="L369" t="s">
        <v>1799</v>
      </c>
      <c r="M369" t="s">
        <v>1799</v>
      </c>
      <c r="N369" t="s">
        <v>1799</v>
      </c>
      <c r="O369" s="184" t="str">
        <f>"["&amp;$C369&amp;"]["&amp;$D369&amp;"]["&amp;$F369&amp;"]"</f>
        <v>[S05_BiomassInstallations][6][EnergyFossil]</v>
      </c>
    </row>
    <row r="370" spans="1:15" x14ac:dyDescent="0.3">
      <c r="A370" t="s">
        <v>1793</v>
      </c>
      <c r="B370" t="s">
        <v>1986</v>
      </c>
      <c r="C370" t="s">
        <v>1987</v>
      </c>
      <c r="D370">
        <v>0</v>
      </c>
      <c r="E370" t="s">
        <v>1447</v>
      </c>
      <c r="F370" t="s">
        <v>1987</v>
      </c>
      <c r="G370" t="s">
        <v>1913</v>
      </c>
      <c r="H370" t="s">
        <v>1799</v>
      </c>
      <c r="I370" t="s">
        <v>1799</v>
      </c>
      <c r="J370">
        <v>0</v>
      </c>
      <c r="K370" t="s">
        <v>1799</v>
      </c>
      <c r="L370" t="s">
        <v>1799</v>
      </c>
      <c r="M370" t="s">
        <v>1799</v>
      </c>
      <c r="N370" t="s">
        <v>1799</v>
      </c>
      <c r="O370" s="184" t="str">
        <f>"["&amp;$C370&amp;"]["&amp;$D370&amp;"]["&amp;$F370&amp;"]"</f>
        <v>[WasteFuelFossilCO2][0][WasteFuelFossilCO2]</v>
      </c>
    </row>
    <row r="371" spans="1:15" x14ac:dyDescent="0.3">
      <c r="A371" t="s">
        <v>1793</v>
      </c>
      <c r="B371" t="s">
        <v>1988</v>
      </c>
      <c r="C371" t="s">
        <v>1989</v>
      </c>
      <c r="D371">
        <v>0</v>
      </c>
      <c r="E371" t="s">
        <v>1447</v>
      </c>
      <c r="F371" t="s">
        <v>1989</v>
      </c>
      <c r="G371" t="s">
        <v>1829</v>
      </c>
      <c r="H371" t="s">
        <v>1799</v>
      </c>
      <c r="I371" t="s">
        <v>1799</v>
      </c>
      <c r="J371" t="s">
        <v>1799</v>
      </c>
      <c r="K371" t="s">
        <v>1799</v>
      </c>
      <c r="L371" t="s">
        <v>1447</v>
      </c>
      <c r="M371" t="s">
        <v>1799</v>
      </c>
      <c r="N371" t="s">
        <v>1799</v>
      </c>
      <c r="O371" s="184" t="str">
        <f>"["&amp;$C371&amp;"]["&amp;$D371&amp;"]["&amp;$F371&amp;"]"</f>
        <v>[SimplifiedMonitoringArt13][0][SimplifiedMonitoringArt13]</v>
      </c>
    </row>
    <row r="372" spans="1:15" x14ac:dyDescent="0.3">
      <c r="A372" t="s">
        <v>1793</v>
      </c>
      <c r="B372" t="s">
        <v>1990</v>
      </c>
      <c r="C372" t="s">
        <v>1991</v>
      </c>
      <c r="D372">
        <v>1</v>
      </c>
      <c r="E372" t="s">
        <v>1447</v>
      </c>
      <c r="F372" t="s">
        <v>1992</v>
      </c>
      <c r="G372" t="s">
        <v>1811</v>
      </c>
      <c r="H372" t="s">
        <v>1799</v>
      </c>
      <c r="I372">
        <v>1</v>
      </c>
      <c r="J372" t="s">
        <v>1799</v>
      </c>
      <c r="K372" t="s">
        <v>1799</v>
      </c>
      <c r="L372" t="s">
        <v>1799</v>
      </c>
      <c r="M372" t="s">
        <v>1799</v>
      </c>
      <c r="N372" t="s">
        <v>1799</v>
      </c>
      <c r="O372" s="184" t="str">
        <f>"["&amp;$C372&amp;"]["&amp;$D372&amp;"]["&amp;$F372&amp;"]"</f>
        <v>[S05_AircraftMethodFuelConsumption][1][CountAircraftOperators]</v>
      </c>
    </row>
    <row r="373" spans="1:15" x14ac:dyDescent="0.3">
      <c r="A373" t="s">
        <v>1793</v>
      </c>
      <c r="B373" t="s">
        <v>1990</v>
      </c>
      <c r="C373" t="s">
        <v>1991</v>
      </c>
      <c r="D373">
        <v>2</v>
      </c>
      <c r="E373" t="s">
        <v>1447</v>
      </c>
      <c r="F373" t="s">
        <v>1992</v>
      </c>
      <c r="G373" t="s">
        <v>1811</v>
      </c>
      <c r="H373" t="s">
        <v>1799</v>
      </c>
      <c r="I373">
        <v>0</v>
      </c>
      <c r="J373" t="s">
        <v>1799</v>
      </c>
      <c r="K373" t="s">
        <v>1799</v>
      </c>
      <c r="L373" t="s">
        <v>1799</v>
      </c>
      <c r="M373" t="s">
        <v>1799</v>
      </c>
      <c r="N373" t="s">
        <v>1799</v>
      </c>
      <c r="O373" s="184" t="str">
        <f>"["&amp;$C373&amp;"]["&amp;$D373&amp;"]["&amp;$F373&amp;"]"</f>
        <v>[S05_AircraftMethodFuelConsumption][2][CountAircraftOperators]</v>
      </c>
    </row>
    <row r="374" spans="1:15" x14ac:dyDescent="0.3">
      <c r="A374" t="s">
        <v>1793</v>
      </c>
      <c r="B374" t="s">
        <v>1990</v>
      </c>
      <c r="C374" t="s">
        <v>1991</v>
      </c>
      <c r="D374">
        <v>3</v>
      </c>
      <c r="E374" t="s">
        <v>1447</v>
      </c>
      <c r="F374" t="s">
        <v>1992</v>
      </c>
      <c r="G374" t="s">
        <v>1811</v>
      </c>
      <c r="H374" t="s">
        <v>1799</v>
      </c>
      <c r="I374">
        <v>0</v>
      </c>
      <c r="J374" t="s">
        <v>1799</v>
      </c>
      <c r="K374" t="s">
        <v>1799</v>
      </c>
      <c r="L374" t="s">
        <v>1799</v>
      </c>
      <c r="M374" t="s">
        <v>1799</v>
      </c>
      <c r="N374" t="s">
        <v>1799</v>
      </c>
      <c r="O374" s="184" t="str">
        <f>"["&amp;$C374&amp;"]["&amp;$D374&amp;"]["&amp;$F374&amp;"]"</f>
        <v>[S05_AircraftMethodFuelConsumption][3][CountAircraftOperators]</v>
      </c>
    </row>
    <row r="375" spans="1:15" x14ac:dyDescent="0.3">
      <c r="A375" t="s">
        <v>1793</v>
      </c>
      <c r="B375" t="s">
        <v>1990</v>
      </c>
      <c r="C375" t="s">
        <v>1991</v>
      </c>
      <c r="D375">
        <v>1</v>
      </c>
      <c r="E375" t="s">
        <v>1447</v>
      </c>
      <c r="F375" t="s">
        <v>1993</v>
      </c>
      <c r="G375" t="s">
        <v>1913</v>
      </c>
      <c r="H375" t="s">
        <v>1799</v>
      </c>
      <c r="I375" t="s">
        <v>1799</v>
      </c>
      <c r="J375">
        <v>0</v>
      </c>
      <c r="K375" t="s">
        <v>1799</v>
      </c>
      <c r="L375" t="s">
        <v>1799</v>
      </c>
      <c r="M375" t="s">
        <v>1799</v>
      </c>
      <c r="N375" t="s">
        <v>1799</v>
      </c>
      <c r="O375" s="184" t="str">
        <f>"["&amp;$C375&amp;"]["&amp;$D375&amp;"]["&amp;$F375&amp;"]"</f>
        <v>[S05_AircraftMethodFuelConsumption][1][SmallEmittersShare]</v>
      </c>
    </row>
    <row r="376" spans="1:15" x14ac:dyDescent="0.3">
      <c r="A376" t="s">
        <v>1793</v>
      </c>
      <c r="B376" t="s">
        <v>1990</v>
      </c>
      <c r="C376" t="s">
        <v>1991</v>
      </c>
      <c r="D376">
        <v>2</v>
      </c>
      <c r="E376" t="s">
        <v>1447</v>
      </c>
      <c r="F376" t="s">
        <v>1993</v>
      </c>
      <c r="G376" t="s">
        <v>1913</v>
      </c>
      <c r="H376" t="s">
        <v>1799</v>
      </c>
      <c r="I376" t="s">
        <v>1799</v>
      </c>
      <c r="J376">
        <v>0</v>
      </c>
      <c r="K376" t="s">
        <v>1799</v>
      </c>
      <c r="L376" t="s">
        <v>1799</v>
      </c>
      <c r="M376" t="s">
        <v>1799</v>
      </c>
      <c r="N376" t="s">
        <v>1799</v>
      </c>
      <c r="O376" s="184" t="str">
        <f>"["&amp;$C376&amp;"]["&amp;$D376&amp;"]["&amp;$F376&amp;"]"</f>
        <v>[S05_AircraftMethodFuelConsumption][2][SmallEmittersShare]</v>
      </c>
    </row>
    <row r="377" spans="1:15" x14ac:dyDescent="0.3">
      <c r="A377" t="s">
        <v>1793</v>
      </c>
      <c r="B377" t="s">
        <v>1990</v>
      </c>
      <c r="C377" t="s">
        <v>1991</v>
      </c>
      <c r="D377">
        <v>3</v>
      </c>
      <c r="E377" t="s">
        <v>1447</v>
      </c>
      <c r="F377" t="s">
        <v>1993</v>
      </c>
      <c r="G377" t="s">
        <v>1913</v>
      </c>
      <c r="H377" t="s">
        <v>1799</v>
      </c>
      <c r="I377" t="s">
        <v>1799</v>
      </c>
      <c r="J377">
        <v>0</v>
      </c>
      <c r="K377" t="s">
        <v>1799</v>
      </c>
      <c r="L377" t="s">
        <v>1799</v>
      </c>
      <c r="M377" t="s">
        <v>1799</v>
      </c>
      <c r="N377" t="s">
        <v>1799</v>
      </c>
      <c r="O377" s="184" t="str">
        <f>"["&amp;$C377&amp;"]["&amp;$D377&amp;"]["&amp;$F377&amp;"]"</f>
        <v>[S05_AircraftMethodFuelConsumption][3][SmallEmittersShare]</v>
      </c>
    </row>
    <row r="378" spans="1:15" x14ac:dyDescent="0.3">
      <c r="A378" t="s">
        <v>1793</v>
      </c>
      <c r="B378" t="s">
        <v>1994</v>
      </c>
      <c r="C378" t="s">
        <v>1995</v>
      </c>
      <c r="D378">
        <v>1</v>
      </c>
      <c r="E378" t="s">
        <v>1447</v>
      </c>
      <c r="F378" t="s">
        <v>1996</v>
      </c>
      <c r="G378" t="s">
        <v>1913</v>
      </c>
      <c r="H378" t="s">
        <v>1799</v>
      </c>
      <c r="I378" t="s">
        <v>1799</v>
      </c>
      <c r="J378">
        <v>9525</v>
      </c>
      <c r="K378" t="s">
        <v>1799</v>
      </c>
      <c r="L378" t="s">
        <v>1799</v>
      </c>
      <c r="M378" t="s">
        <v>1799</v>
      </c>
      <c r="N378" t="s">
        <v>1799</v>
      </c>
      <c r="O378" s="184" t="str">
        <f>"["&amp;$C378&amp;"]["&amp;$D378&amp;"]["&amp;$F378&amp;"]"</f>
        <v>[S05_TotalFlightEmissions][1][TotalFlightEmissions]</v>
      </c>
    </row>
    <row r="379" spans="1:15" x14ac:dyDescent="0.3">
      <c r="A379" t="s">
        <v>1793</v>
      </c>
      <c r="B379" t="s">
        <v>1994</v>
      </c>
      <c r="C379" t="s">
        <v>1995</v>
      </c>
      <c r="D379">
        <v>2</v>
      </c>
      <c r="E379" t="s">
        <v>1447</v>
      </c>
      <c r="F379" t="s">
        <v>1996</v>
      </c>
      <c r="G379" t="s">
        <v>1913</v>
      </c>
      <c r="H379" t="s">
        <v>1799</v>
      </c>
      <c r="I379" t="s">
        <v>1799</v>
      </c>
      <c r="J379">
        <v>7</v>
      </c>
      <c r="K379" t="s">
        <v>1799</v>
      </c>
      <c r="L379" t="s">
        <v>1799</v>
      </c>
      <c r="M379" t="s">
        <v>1799</v>
      </c>
      <c r="N379" t="s">
        <v>1799</v>
      </c>
      <c r="O379" s="184" t="str">
        <f>"["&amp;$C379&amp;"]["&amp;$D379&amp;"]["&amp;$F379&amp;"]"</f>
        <v>[S05_TotalFlightEmissions][2][TotalFlightEmissions]</v>
      </c>
    </row>
    <row r="380" spans="1:15" x14ac:dyDescent="0.3">
      <c r="A380" t="s">
        <v>1793</v>
      </c>
      <c r="B380" t="s">
        <v>1994</v>
      </c>
      <c r="C380" t="s">
        <v>1995</v>
      </c>
      <c r="D380">
        <v>3</v>
      </c>
      <c r="E380" t="s">
        <v>1447</v>
      </c>
      <c r="F380" t="s">
        <v>1996</v>
      </c>
      <c r="G380" t="s">
        <v>1913</v>
      </c>
      <c r="H380" t="s">
        <v>1799</v>
      </c>
      <c r="I380" t="s">
        <v>1799</v>
      </c>
      <c r="J380">
        <v>32981</v>
      </c>
      <c r="K380" t="s">
        <v>1799</v>
      </c>
      <c r="L380" t="s">
        <v>1799</v>
      </c>
      <c r="M380" t="s">
        <v>1799</v>
      </c>
      <c r="N380" t="s">
        <v>1799</v>
      </c>
      <c r="O380" s="184" t="str">
        <f>"["&amp;$C380&amp;"]["&amp;$D380&amp;"]["&amp;$F380&amp;"]"</f>
        <v>[S05_TotalFlightEmissions][3][TotalFlightEmissions]</v>
      </c>
    </row>
    <row r="381" spans="1:15" x14ac:dyDescent="0.3">
      <c r="A381" t="s">
        <v>1793</v>
      </c>
      <c r="B381" t="s">
        <v>1994</v>
      </c>
      <c r="C381" t="s">
        <v>1995</v>
      </c>
      <c r="D381">
        <v>4</v>
      </c>
      <c r="E381" t="s">
        <v>1447</v>
      </c>
      <c r="F381" t="s">
        <v>1996</v>
      </c>
      <c r="G381" t="s">
        <v>1913</v>
      </c>
      <c r="H381" t="s">
        <v>1799</v>
      </c>
      <c r="I381" t="s">
        <v>1799</v>
      </c>
      <c r="J381">
        <v>22980</v>
      </c>
      <c r="K381" t="s">
        <v>1799</v>
      </c>
      <c r="L381" t="s">
        <v>1799</v>
      </c>
      <c r="M381" t="s">
        <v>1799</v>
      </c>
      <c r="N381" t="s">
        <v>1799</v>
      </c>
      <c r="O381" s="184" t="str">
        <f>"["&amp;$C381&amp;"]["&amp;$D381&amp;"]["&amp;$F381&amp;"]"</f>
        <v>[S05_TotalFlightEmissions][4][TotalFlightEmissions]</v>
      </c>
    </row>
    <row r="382" spans="1:15" x14ac:dyDescent="0.3">
      <c r="A382" t="s">
        <v>1793</v>
      </c>
      <c r="B382" t="s">
        <v>1994</v>
      </c>
      <c r="C382" t="s">
        <v>1995</v>
      </c>
      <c r="D382">
        <v>5</v>
      </c>
      <c r="E382" t="s">
        <v>1447</v>
      </c>
      <c r="F382" t="s">
        <v>1996</v>
      </c>
      <c r="G382" t="s">
        <v>1913</v>
      </c>
      <c r="H382" t="s">
        <v>1799</v>
      </c>
      <c r="I382" t="s">
        <v>1799</v>
      </c>
      <c r="J382">
        <v>0</v>
      </c>
      <c r="K382" t="s">
        <v>1799</v>
      </c>
      <c r="L382" t="s">
        <v>1799</v>
      </c>
      <c r="M382" t="s">
        <v>1799</v>
      </c>
      <c r="N382" t="s">
        <v>1799</v>
      </c>
      <c r="O382" s="184" t="str">
        <f>"["&amp;$C382&amp;"]["&amp;$D382&amp;"]["&amp;$F382&amp;"]"</f>
        <v>[S05_TotalFlightEmissions][5][TotalFlightEmissions]</v>
      </c>
    </row>
    <row r="383" spans="1:15" x14ac:dyDescent="0.3">
      <c r="A383" t="s">
        <v>1793</v>
      </c>
      <c r="B383" t="s">
        <v>1994</v>
      </c>
      <c r="C383" t="s">
        <v>1997</v>
      </c>
      <c r="D383">
        <v>0</v>
      </c>
      <c r="E383" t="s">
        <v>1447</v>
      </c>
      <c r="F383" t="s">
        <v>1997</v>
      </c>
      <c r="G383" t="s">
        <v>1811</v>
      </c>
      <c r="H383" t="s">
        <v>1799</v>
      </c>
      <c r="I383">
        <v>0</v>
      </c>
      <c r="J383" t="s">
        <v>1799</v>
      </c>
      <c r="K383" t="s">
        <v>1799</v>
      </c>
      <c r="L383" t="s">
        <v>1799</v>
      </c>
      <c r="M383" t="s">
        <v>1799</v>
      </c>
      <c r="N383" t="s">
        <v>1799</v>
      </c>
      <c r="O383" s="184" t="str">
        <f>"["&amp;$C383&amp;"]["&amp;$D383&amp;"]["&amp;$F383&amp;"]"</f>
        <v>[CountOperatorsThirdCountries][0][CountOperatorsThirdCountries]</v>
      </c>
    </row>
    <row r="384" spans="1:15" x14ac:dyDescent="0.3">
      <c r="A384" t="s">
        <v>1793</v>
      </c>
      <c r="B384" t="s">
        <v>1998</v>
      </c>
      <c r="C384" t="s">
        <v>1999</v>
      </c>
      <c r="D384">
        <v>0</v>
      </c>
      <c r="E384" t="s">
        <v>1447</v>
      </c>
      <c r="F384" t="s">
        <v>1999</v>
      </c>
      <c r="G384" t="s">
        <v>1811</v>
      </c>
      <c r="H384" t="s">
        <v>1799</v>
      </c>
      <c r="I384">
        <v>0</v>
      </c>
      <c r="J384" t="s">
        <v>1799</v>
      </c>
      <c r="K384" t="s">
        <v>1799</v>
      </c>
      <c r="L384" t="s">
        <v>1799</v>
      </c>
      <c r="M384" t="s">
        <v>1799</v>
      </c>
      <c r="N384" t="s">
        <v>1799</v>
      </c>
      <c r="O384" s="184" t="str">
        <f>"["&amp;$C384&amp;"]["&amp;$D384&amp;"]["&amp;$F384&amp;"]"</f>
        <v>[CountOperatorsUsingBiofuels][0][CountOperatorsUsingBiofuels]</v>
      </c>
    </row>
    <row r="385" spans="1:15" x14ac:dyDescent="0.3">
      <c r="A385" t="s">
        <v>1793</v>
      </c>
      <c r="B385" t="s">
        <v>1998</v>
      </c>
      <c r="C385" t="s">
        <v>2000</v>
      </c>
      <c r="D385">
        <v>0</v>
      </c>
      <c r="E385" t="s">
        <v>1447</v>
      </c>
      <c r="F385" t="s">
        <v>2000</v>
      </c>
      <c r="G385" t="s">
        <v>1913</v>
      </c>
      <c r="H385" t="s">
        <v>1799</v>
      </c>
      <c r="I385" t="s">
        <v>1799</v>
      </c>
      <c r="J385">
        <v>0</v>
      </c>
      <c r="K385" t="s">
        <v>1799</v>
      </c>
      <c r="L385" t="s">
        <v>1799</v>
      </c>
      <c r="M385" t="s">
        <v>1799</v>
      </c>
      <c r="N385" t="s">
        <v>1799</v>
      </c>
      <c r="O385" s="184" t="str">
        <f>"["&amp;$C385&amp;"]["&amp;$D385&amp;"]["&amp;$F385&amp;"]"</f>
        <v>[EmissionsBiofuelsSustainabilitySatisfied][0][EmissionsBiofuelsSustainabilitySatisfied]</v>
      </c>
    </row>
    <row r="386" spans="1:15" x14ac:dyDescent="0.3">
      <c r="A386" t="s">
        <v>1793</v>
      </c>
      <c r="B386" t="s">
        <v>1998</v>
      </c>
      <c r="C386" t="s">
        <v>2001</v>
      </c>
      <c r="D386">
        <v>0</v>
      </c>
      <c r="E386" t="s">
        <v>1447</v>
      </c>
      <c r="F386" t="s">
        <v>2001</v>
      </c>
      <c r="G386" t="s">
        <v>1913</v>
      </c>
      <c r="H386" t="s">
        <v>1799</v>
      </c>
      <c r="I386" t="s">
        <v>1799</v>
      </c>
      <c r="J386">
        <v>0</v>
      </c>
      <c r="K386" t="s">
        <v>1799</v>
      </c>
      <c r="L386" t="s">
        <v>1799</v>
      </c>
      <c r="M386" t="s">
        <v>1799</v>
      </c>
      <c r="N386" t="s">
        <v>1799</v>
      </c>
      <c r="O386" s="184" t="str">
        <f>"["&amp;$C386&amp;"]["&amp;$D386&amp;"]["&amp;$F386&amp;"]"</f>
        <v>[EmissionsBiofuelsSustainabilityNotSatisfied][0][EmissionsBiofuelsSustainabilityNotSatisfied]</v>
      </c>
    </row>
    <row r="387" spans="1:15" x14ac:dyDescent="0.3">
      <c r="A387" t="s">
        <v>1793</v>
      </c>
      <c r="B387" t="s">
        <v>2002</v>
      </c>
      <c r="C387" t="s">
        <v>2003</v>
      </c>
      <c r="D387">
        <v>1</v>
      </c>
      <c r="E387" t="s">
        <v>1447</v>
      </c>
      <c r="F387" t="s">
        <v>2004</v>
      </c>
      <c r="G387" t="s">
        <v>1811</v>
      </c>
      <c r="H387" t="s">
        <v>1799</v>
      </c>
      <c r="I387">
        <v>0</v>
      </c>
      <c r="J387" t="s">
        <v>1799</v>
      </c>
      <c r="K387" t="s">
        <v>1799</v>
      </c>
      <c r="L387" t="s">
        <v>1799</v>
      </c>
      <c r="M387" t="s">
        <v>1799</v>
      </c>
      <c r="N387" t="s">
        <v>1799</v>
      </c>
      <c r="O387" s="184" t="str">
        <f>"["&amp;$C387&amp;"]["&amp;$D387&amp;"]["&amp;$F387&amp;"]"</f>
        <v>[S05_SmallEmittersTool][1][CountSmallEmitters]</v>
      </c>
    </row>
    <row r="388" spans="1:15" x14ac:dyDescent="0.3">
      <c r="A388" t="s">
        <v>1793</v>
      </c>
      <c r="B388" t="s">
        <v>2002</v>
      </c>
      <c r="C388" t="s">
        <v>2003</v>
      </c>
      <c r="D388">
        <v>2</v>
      </c>
      <c r="E388" t="s">
        <v>1447</v>
      </c>
      <c r="F388" t="s">
        <v>2004</v>
      </c>
      <c r="G388" t="s">
        <v>1811</v>
      </c>
      <c r="H388" t="s">
        <v>1799</v>
      </c>
      <c r="I388">
        <v>0</v>
      </c>
      <c r="J388" t="s">
        <v>1799</v>
      </c>
      <c r="K388" t="s">
        <v>1799</v>
      </c>
      <c r="L388" t="s">
        <v>1799</v>
      </c>
      <c r="M388" t="s">
        <v>1799</v>
      </c>
      <c r="N388" t="s">
        <v>1799</v>
      </c>
      <c r="O388" s="184" t="str">
        <f>"["&amp;$C388&amp;"]["&amp;$D388&amp;"]["&amp;$F388&amp;"]"</f>
        <v>[S05_SmallEmittersTool][2][CountSmallEmitters]</v>
      </c>
    </row>
    <row r="389" spans="1:15" x14ac:dyDescent="0.3">
      <c r="A389" t="s">
        <v>1793</v>
      </c>
      <c r="B389" t="s">
        <v>2002</v>
      </c>
      <c r="C389" t="s">
        <v>2003</v>
      </c>
      <c r="D389">
        <v>3</v>
      </c>
      <c r="E389" t="s">
        <v>1447</v>
      </c>
      <c r="F389" t="s">
        <v>2004</v>
      </c>
      <c r="G389" t="s">
        <v>1811</v>
      </c>
      <c r="H389" t="s">
        <v>1799</v>
      </c>
      <c r="I389">
        <v>0</v>
      </c>
      <c r="J389" t="s">
        <v>1799</v>
      </c>
      <c r="K389" t="s">
        <v>1799</v>
      </c>
      <c r="L389" t="s">
        <v>1799</v>
      </c>
      <c r="M389" t="s">
        <v>1799</v>
      </c>
      <c r="N389" t="s">
        <v>1799</v>
      </c>
      <c r="O389" s="184" t="str">
        <f>"["&amp;$C389&amp;"]["&amp;$D389&amp;"]["&amp;$F389&amp;"]"</f>
        <v>[S05_SmallEmittersTool][3][CountSmallEmitters]</v>
      </c>
    </row>
    <row r="390" spans="1:15" x14ac:dyDescent="0.3">
      <c r="A390" t="s">
        <v>1793</v>
      </c>
      <c r="B390" t="s">
        <v>2002</v>
      </c>
      <c r="C390" t="s">
        <v>2003</v>
      </c>
      <c r="D390">
        <v>4</v>
      </c>
      <c r="E390" t="s">
        <v>1447</v>
      </c>
      <c r="F390" t="s">
        <v>2004</v>
      </c>
      <c r="G390" t="s">
        <v>1811</v>
      </c>
      <c r="H390" t="s">
        <v>1799</v>
      </c>
      <c r="I390">
        <v>0</v>
      </c>
      <c r="J390" t="s">
        <v>1799</v>
      </c>
      <c r="K390" t="s">
        <v>1799</v>
      </c>
      <c r="L390" t="s">
        <v>1799</v>
      </c>
      <c r="M390" t="s">
        <v>1799</v>
      </c>
      <c r="N390" t="s">
        <v>1799</v>
      </c>
      <c r="O390" s="184" t="str">
        <f>"["&amp;$C390&amp;"]["&amp;$D390&amp;"]["&amp;$F390&amp;"]"</f>
        <v>[S05_SmallEmittersTool][4][CountSmallEmitters]</v>
      </c>
    </row>
    <row r="391" spans="1:15" x14ac:dyDescent="0.3">
      <c r="A391" t="s">
        <v>1793</v>
      </c>
      <c r="B391" t="s">
        <v>2005</v>
      </c>
      <c r="C391" t="s">
        <v>2006</v>
      </c>
      <c r="D391">
        <v>0</v>
      </c>
      <c r="E391" t="s">
        <v>1447</v>
      </c>
      <c r="F391" t="s">
        <v>2006</v>
      </c>
      <c r="G391" t="s">
        <v>1811</v>
      </c>
      <c r="H391" t="s">
        <v>1799</v>
      </c>
      <c r="I391">
        <v>1</v>
      </c>
      <c r="J391" t="s">
        <v>1799</v>
      </c>
      <c r="K391" t="s">
        <v>1799</v>
      </c>
      <c r="L391" t="s">
        <v>1799</v>
      </c>
      <c r="M391" t="s">
        <v>1799</v>
      </c>
      <c r="N391" t="s">
        <v>1799</v>
      </c>
      <c r="O391" s="184" t="str">
        <f>"["&amp;$C391&amp;"]["&amp;$D391&amp;"]["&amp;$F391&amp;"]"</f>
        <v>[AircraftImprovementReportRequired][0][AircraftImprovementReportRequired]</v>
      </c>
    </row>
    <row r="392" spans="1:15" x14ac:dyDescent="0.3">
      <c r="A392" t="s">
        <v>1793</v>
      </c>
      <c r="B392" t="s">
        <v>2005</v>
      </c>
      <c r="C392" t="s">
        <v>2007</v>
      </c>
      <c r="D392">
        <v>0</v>
      </c>
      <c r="E392" t="s">
        <v>1447</v>
      </c>
      <c r="F392" t="s">
        <v>2007</v>
      </c>
      <c r="G392" t="s">
        <v>1811</v>
      </c>
      <c r="H392" t="s">
        <v>1799</v>
      </c>
      <c r="I392">
        <v>1</v>
      </c>
      <c r="J392" t="s">
        <v>1799</v>
      </c>
      <c r="K392" t="s">
        <v>1799</v>
      </c>
      <c r="L392" t="s">
        <v>1799</v>
      </c>
      <c r="M392" t="s">
        <v>1799</v>
      </c>
      <c r="N392" t="s">
        <v>1799</v>
      </c>
      <c r="O392" s="184" t="str">
        <f>"["&amp;$C392&amp;"]["&amp;$D392&amp;"]["&amp;$F392&amp;"]"</f>
        <v>[AircraftImprovementReportSubmitted][0][AircraftImprovementReportSubmitted]</v>
      </c>
    </row>
    <row r="393" spans="1:15" x14ac:dyDescent="0.3">
      <c r="A393" t="s">
        <v>1793</v>
      </c>
      <c r="B393" t="s">
        <v>2008</v>
      </c>
      <c r="C393" t="s">
        <v>2009</v>
      </c>
      <c r="D393">
        <v>0</v>
      </c>
      <c r="E393" t="s">
        <v>1447</v>
      </c>
      <c r="F393" t="s">
        <v>2009</v>
      </c>
      <c r="G393" t="s">
        <v>1829</v>
      </c>
      <c r="H393" t="s">
        <v>1799</v>
      </c>
      <c r="I393" t="s">
        <v>1799</v>
      </c>
      <c r="J393" t="s">
        <v>1799</v>
      </c>
      <c r="K393" t="s">
        <v>1799</v>
      </c>
      <c r="L393" t="s">
        <v>1447</v>
      </c>
      <c r="M393" t="s">
        <v>1799</v>
      </c>
      <c r="N393" t="s">
        <v>1799</v>
      </c>
      <c r="O393" s="184" t="str">
        <f>"["&amp;$C393&amp;"]["&amp;$D393&amp;"]["&amp;$F393&amp;"]"</f>
        <v>[AircraftSimplifiedMonitoringArt13][0][AircraftSimplifiedMonitoringArt13]</v>
      </c>
    </row>
    <row r="394" spans="1:15" x14ac:dyDescent="0.3">
      <c r="A394" t="s">
        <v>1793</v>
      </c>
      <c r="B394" t="s">
        <v>2010</v>
      </c>
      <c r="C394" t="s">
        <v>2011</v>
      </c>
      <c r="D394">
        <v>1</v>
      </c>
      <c r="E394" t="s">
        <v>1447</v>
      </c>
      <c r="F394" t="s">
        <v>2012</v>
      </c>
      <c r="G394" t="s">
        <v>1811</v>
      </c>
      <c r="H394" t="s">
        <v>1799</v>
      </c>
      <c r="I394">
        <v>1</v>
      </c>
      <c r="J394" t="s">
        <v>1799</v>
      </c>
      <c r="K394" t="s">
        <v>1799</v>
      </c>
      <c r="L394" t="s">
        <v>1799</v>
      </c>
      <c r="M394" t="s">
        <v>1799</v>
      </c>
      <c r="N394" t="s">
        <v>1799</v>
      </c>
      <c r="O394" s="184" t="str">
        <f>"["&amp;$C394&amp;"]["&amp;$D394&amp;"]["&amp;$F394&amp;"]"</f>
        <v>[S06_TotalVerifiers][1][CountVerifiersInstallations]</v>
      </c>
    </row>
    <row r="395" spans="1:15" x14ac:dyDescent="0.3">
      <c r="A395" t="s">
        <v>1793</v>
      </c>
      <c r="B395" t="s">
        <v>2010</v>
      </c>
      <c r="C395" t="s">
        <v>2011</v>
      </c>
      <c r="D395">
        <v>2</v>
      </c>
      <c r="E395" t="s">
        <v>1447</v>
      </c>
      <c r="F395" t="s">
        <v>2012</v>
      </c>
      <c r="G395" t="s">
        <v>1811</v>
      </c>
      <c r="H395" t="s">
        <v>1799</v>
      </c>
      <c r="I395">
        <v>0</v>
      </c>
      <c r="J395" t="s">
        <v>1799</v>
      </c>
      <c r="K395" t="s">
        <v>1799</v>
      </c>
      <c r="L395" t="s">
        <v>1799</v>
      </c>
      <c r="M395" t="s">
        <v>1799</v>
      </c>
      <c r="N395" t="s">
        <v>1799</v>
      </c>
      <c r="O395" s="184" t="str">
        <f>"["&amp;$C395&amp;"]["&amp;$D395&amp;"]["&amp;$F395&amp;"]"</f>
        <v>[S06_TotalVerifiers][2][CountVerifiersInstallations]</v>
      </c>
    </row>
    <row r="396" spans="1:15" x14ac:dyDescent="0.3">
      <c r="A396" t="s">
        <v>1793</v>
      </c>
      <c r="B396" t="s">
        <v>2010</v>
      </c>
      <c r="C396" t="s">
        <v>2011</v>
      </c>
      <c r="D396">
        <v>3</v>
      </c>
      <c r="E396" t="s">
        <v>1447</v>
      </c>
      <c r="F396" t="s">
        <v>2012</v>
      </c>
      <c r="G396" t="s">
        <v>1811</v>
      </c>
      <c r="H396" t="s">
        <v>1799</v>
      </c>
      <c r="I396">
        <v>3</v>
      </c>
      <c r="J396" t="s">
        <v>1799</v>
      </c>
      <c r="K396" t="s">
        <v>1799</v>
      </c>
      <c r="L396" t="s">
        <v>1799</v>
      </c>
      <c r="M396" t="s">
        <v>1799</v>
      </c>
      <c r="N396" t="s">
        <v>1799</v>
      </c>
      <c r="O396" s="184" t="str">
        <f>"["&amp;$C396&amp;"]["&amp;$D396&amp;"]["&amp;$F396&amp;"]"</f>
        <v>[S06_TotalVerifiers][3][CountVerifiersInstallations]</v>
      </c>
    </row>
    <row r="397" spans="1:15" x14ac:dyDescent="0.3">
      <c r="A397" t="s">
        <v>1793</v>
      </c>
      <c r="B397" t="s">
        <v>2010</v>
      </c>
      <c r="C397" t="s">
        <v>2011</v>
      </c>
      <c r="D397">
        <v>4</v>
      </c>
      <c r="E397" t="s">
        <v>1447</v>
      </c>
      <c r="F397" t="s">
        <v>2012</v>
      </c>
      <c r="G397" t="s">
        <v>1811</v>
      </c>
      <c r="H397" t="s">
        <v>1799</v>
      </c>
      <c r="I397">
        <v>0</v>
      </c>
      <c r="J397" t="s">
        <v>1799</v>
      </c>
      <c r="K397" t="s">
        <v>1799</v>
      </c>
      <c r="L397" t="s">
        <v>1799</v>
      </c>
      <c r="M397" t="s">
        <v>1799</v>
      </c>
      <c r="N397" t="s">
        <v>1799</v>
      </c>
      <c r="O397" s="184" t="str">
        <f>"["&amp;$C397&amp;"]["&amp;$D397&amp;"]["&amp;$F397&amp;"]"</f>
        <v>[S06_TotalVerifiers][4][CountVerifiersInstallations]</v>
      </c>
    </row>
    <row r="398" spans="1:15" x14ac:dyDescent="0.3">
      <c r="A398" t="s">
        <v>1793</v>
      </c>
      <c r="B398" t="s">
        <v>2010</v>
      </c>
      <c r="C398" t="s">
        <v>2011</v>
      </c>
      <c r="D398">
        <v>1</v>
      </c>
      <c r="E398" t="s">
        <v>1447</v>
      </c>
      <c r="F398" t="s">
        <v>2013</v>
      </c>
      <c r="G398" t="s">
        <v>1811</v>
      </c>
      <c r="H398" t="s">
        <v>1799</v>
      </c>
      <c r="I398">
        <v>0</v>
      </c>
      <c r="J398" t="s">
        <v>1799</v>
      </c>
      <c r="K398" t="s">
        <v>1799</v>
      </c>
      <c r="L398" t="s">
        <v>1799</v>
      </c>
      <c r="M398" t="s">
        <v>1799</v>
      </c>
      <c r="N398" t="s">
        <v>1799</v>
      </c>
      <c r="O398" s="184" t="str">
        <f>"["&amp;$C398&amp;"]["&amp;$D398&amp;"]["&amp;$F398&amp;"]"</f>
        <v>[S06_TotalVerifiers][1][CountVerifiersAviation]</v>
      </c>
    </row>
    <row r="399" spans="1:15" x14ac:dyDescent="0.3">
      <c r="A399" t="s">
        <v>1793</v>
      </c>
      <c r="B399" t="s">
        <v>2010</v>
      </c>
      <c r="C399" t="s">
        <v>2011</v>
      </c>
      <c r="D399">
        <v>2</v>
      </c>
      <c r="E399" t="s">
        <v>1447</v>
      </c>
      <c r="F399" t="s">
        <v>2013</v>
      </c>
      <c r="G399" t="s">
        <v>1811</v>
      </c>
      <c r="H399" t="s">
        <v>1799</v>
      </c>
      <c r="I399">
        <v>0</v>
      </c>
      <c r="J399" t="s">
        <v>1799</v>
      </c>
      <c r="K399" t="s">
        <v>1799</v>
      </c>
      <c r="L399" t="s">
        <v>1799</v>
      </c>
      <c r="M399" t="s">
        <v>1799</v>
      </c>
      <c r="N399" t="s">
        <v>1799</v>
      </c>
      <c r="O399" s="184" t="str">
        <f>"["&amp;$C399&amp;"]["&amp;$D399&amp;"]["&amp;$F399&amp;"]"</f>
        <v>[S06_TotalVerifiers][2][CountVerifiersAviation]</v>
      </c>
    </row>
    <row r="400" spans="1:15" x14ac:dyDescent="0.3">
      <c r="A400" t="s">
        <v>1793</v>
      </c>
      <c r="B400" t="s">
        <v>2010</v>
      </c>
      <c r="C400" t="s">
        <v>2011</v>
      </c>
      <c r="D400">
        <v>3</v>
      </c>
      <c r="E400" t="s">
        <v>1447</v>
      </c>
      <c r="F400" t="s">
        <v>2013</v>
      </c>
      <c r="G400" t="s">
        <v>1811</v>
      </c>
      <c r="H400" t="s">
        <v>1799</v>
      </c>
      <c r="I400">
        <v>1</v>
      </c>
      <c r="J400" t="s">
        <v>1799</v>
      </c>
      <c r="K400" t="s">
        <v>1799</v>
      </c>
      <c r="L400" t="s">
        <v>1799</v>
      </c>
      <c r="M400" t="s">
        <v>1799</v>
      </c>
      <c r="N400" t="s">
        <v>1799</v>
      </c>
      <c r="O400" s="184" t="str">
        <f>"["&amp;$C400&amp;"]["&amp;$D400&amp;"]["&amp;$F400&amp;"]"</f>
        <v>[S06_TotalVerifiers][3][CountVerifiersAviation]</v>
      </c>
    </row>
    <row r="401" spans="1:15" x14ac:dyDescent="0.3">
      <c r="A401" t="s">
        <v>1793</v>
      </c>
      <c r="B401" t="s">
        <v>2010</v>
      </c>
      <c r="C401" t="s">
        <v>2011</v>
      </c>
      <c r="D401">
        <v>4</v>
      </c>
      <c r="E401" t="s">
        <v>1447</v>
      </c>
      <c r="F401" t="s">
        <v>2013</v>
      </c>
      <c r="G401" t="s">
        <v>1811</v>
      </c>
      <c r="H401" t="s">
        <v>1799</v>
      </c>
      <c r="I401">
        <v>0</v>
      </c>
      <c r="J401" t="s">
        <v>1799</v>
      </c>
      <c r="K401" t="s">
        <v>1799</v>
      </c>
      <c r="L401" t="s">
        <v>1799</v>
      </c>
      <c r="M401" t="s">
        <v>1799</v>
      </c>
      <c r="N401" t="s">
        <v>1799</v>
      </c>
      <c r="O401" s="184" t="str">
        <f>"["&amp;$C401&amp;"]["&amp;$D401&amp;"]["&amp;$F401&amp;"]"</f>
        <v>[S06_TotalVerifiers][4][CountVerifiersAviation]</v>
      </c>
    </row>
    <row r="402" spans="1:15" x14ac:dyDescent="0.3">
      <c r="A402" t="s">
        <v>1793</v>
      </c>
      <c r="B402" t="s">
        <v>2010</v>
      </c>
      <c r="C402" t="s">
        <v>2014</v>
      </c>
      <c r="D402">
        <v>1</v>
      </c>
      <c r="E402" t="s">
        <v>1447</v>
      </c>
      <c r="F402" t="s">
        <v>2015</v>
      </c>
      <c r="G402" t="s">
        <v>1737</v>
      </c>
      <c r="H402" t="s">
        <v>1799</v>
      </c>
      <c r="I402" t="s">
        <v>1799</v>
      </c>
      <c r="J402" t="s">
        <v>1799</v>
      </c>
      <c r="K402" t="s">
        <v>1799</v>
      </c>
      <c r="L402" t="s">
        <v>1436</v>
      </c>
      <c r="M402" t="s">
        <v>1799</v>
      </c>
      <c r="N402" t="s">
        <v>1799</v>
      </c>
      <c r="O402" s="184" t="str">
        <f>"["&amp;$C402&amp;"]["&amp;$D402&amp;"]["&amp;$F402&amp;"]"</f>
        <v>[S06_AccredCertVerifiersAnnexI][1][AccredCertScope]</v>
      </c>
    </row>
    <row r="403" spans="1:15" x14ac:dyDescent="0.3">
      <c r="A403" t="s">
        <v>1793</v>
      </c>
      <c r="B403" t="s">
        <v>2010</v>
      </c>
      <c r="C403" t="s">
        <v>2014</v>
      </c>
      <c r="D403">
        <v>2</v>
      </c>
      <c r="E403" t="s">
        <v>1447</v>
      </c>
      <c r="F403" t="s">
        <v>2015</v>
      </c>
      <c r="G403" t="s">
        <v>1737</v>
      </c>
      <c r="H403" t="s">
        <v>1799</v>
      </c>
      <c r="I403" t="s">
        <v>1799</v>
      </c>
      <c r="J403" t="s">
        <v>1799</v>
      </c>
      <c r="K403" t="s">
        <v>1799</v>
      </c>
      <c r="L403" t="s">
        <v>1465</v>
      </c>
      <c r="M403" t="s">
        <v>1799</v>
      </c>
      <c r="N403" t="s">
        <v>1799</v>
      </c>
      <c r="O403" s="184" t="str">
        <f>"["&amp;$C403&amp;"]["&amp;$D403&amp;"]["&amp;$F403&amp;"]"</f>
        <v>[S06_AccredCertVerifiersAnnexI][2][AccredCertScope]</v>
      </c>
    </row>
    <row r="404" spans="1:15" x14ac:dyDescent="0.3">
      <c r="A404" t="s">
        <v>1793</v>
      </c>
      <c r="B404" t="s">
        <v>2010</v>
      </c>
      <c r="C404" t="s">
        <v>2014</v>
      </c>
      <c r="D404">
        <v>3</v>
      </c>
      <c r="E404" t="s">
        <v>1447</v>
      </c>
      <c r="F404" t="s">
        <v>2015</v>
      </c>
      <c r="G404" t="s">
        <v>1737</v>
      </c>
      <c r="H404" t="s">
        <v>1799</v>
      </c>
      <c r="I404" t="s">
        <v>1799</v>
      </c>
      <c r="J404" t="s">
        <v>1799</v>
      </c>
      <c r="K404" t="s">
        <v>1799</v>
      </c>
      <c r="L404" t="s">
        <v>1490</v>
      </c>
      <c r="M404" t="s">
        <v>1799</v>
      </c>
      <c r="N404" t="s">
        <v>1799</v>
      </c>
      <c r="O404" s="184" t="str">
        <f>"["&amp;$C404&amp;"]["&amp;$D404&amp;"]["&amp;$F404&amp;"]"</f>
        <v>[S06_AccredCertVerifiersAnnexI][3][AccredCertScope]</v>
      </c>
    </row>
    <row r="405" spans="1:15" x14ac:dyDescent="0.3">
      <c r="A405" t="s">
        <v>1793</v>
      </c>
      <c r="B405" t="s">
        <v>2010</v>
      </c>
      <c r="C405" t="s">
        <v>2014</v>
      </c>
      <c r="D405">
        <v>4</v>
      </c>
      <c r="E405" t="s">
        <v>1447</v>
      </c>
      <c r="F405" t="s">
        <v>2015</v>
      </c>
      <c r="G405" t="s">
        <v>1737</v>
      </c>
      <c r="H405" t="s">
        <v>1799</v>
      </c>
      <c r="I405" t="s">
        <v>1799</v>
      </c>
      <c r="J405" t="s">
        <v>1799</v>
      </c>
      <c r="K405" t="s">
        <v>1799</v>
      </c>
      <c r="L405" t="s">
        <v>1576</v>
      </c>
      <c r="M405" t="s">
        <v>1799</v>
      </c>
      <c r="N405" t="s">
        <v>1799</v>
      </c>
      <c r="O405" s="184" t="str">
        <f>"["&amp;$C405&amp;"]["&amp;$D405&amp;"]["&amp;$F405&amp;"]"</f>
        <v>[S06_AccredCertVerifiersAnnexI][4][AccredCertScope]</v>
      </c>
    </row>
    <row r="406" spans="1:15" x14ac:dyDescent="0.3">
      <c r="A406" t="s">
        <v>1793</v>
      </c>
      <c r="B406" t="s">
        <v>2010</v>
      </c>
      <c r="C406" t="s">
        <v>2014</v>
      </c>
      <c r="D406">
        <v>5</v>
      </c>
      <c r="E406" t="s">
        <v>1447</v>
      </c>
      <c r="F406" t="s">
        <v>2015</v>
      </c>
      <c r="G406" t="s">
        <v>1737</v>
      </c>
      <c r="H406" t="s">
        <v>1799</v>
      </c>
      <c r="I406" t="s">
        <v>1799</v>
      </c>
      <c r="J406" t="s">
        <v>1799</v>
      </c>
      <c r="K406" t="s">
        <v>1799</v>
      </c>
      <c r="L406" t="s">
        <v>1666</v>
      </c>
      <c r="M406" t="s">
        <v>1799</v>
      </c>
      <c r="N406" t="s">
        <v>1799</v>
      </c>
      <c r="O406" s="184" t="str">
        <f>"["&amp;$C406&amp;"]["&amp;$D406&amp;"]["&amp;$F406&amp;"]"</f>
        <v>[S06_AccredCertVerifiersAnnexI][5][AccredCertScope]</v>
      </c>
    </row>
    <row r="407" spans="1:15" x14ac:dyDescent="0.3">
      <c r="A407" t="s">
        <v>1793</v>
      </c>
      <c r="B407" t="s">
        <v>2010</v>
      </c>
      <c r="C407" t="s">
        <v>2014</v>
      </c>
      <c r="D407">
        <v>1</v>
      </c>
      <c r="E407" t="s">
        <v>1447</v>
      </c>
      <c r="F407" t="s">
        <v>2016</v>
      </c>
      <c r="G407" t="s">
        <v>1811</v>
      </c>
      <c r="H407" t="s">
        <v>1799</v>
      </c>
      <c r="I407">
        <v>1</v>
      </c>
      <c r="J407" t="s">
        <v>1799</v>
      </c>
      <c r="K407" t="s">
        <v>1799</v>
      </c>
      <c r="L407" t="s">
        <v>1799</v>
      </c>
      <c r="M407" t="s">
        <v>1799</v>
      </c>
      <c r="N407" t="s">
        <v>1799</v>
      </c>
      <c r="O407" s="184" t="str">
        <f>"["&amp;$C407&amp;"]["&amp;$D407&amp;"]["&amp;$F407&amp;"]"</f>
        <v>[S06_AccredCertVerifiersAnnexI][1][NumberAccredited]</v>
      </c>
    </row>
    <row r="408" spans="1:15" x14ac:dyDescent="0.3">
      <c r="A408" t="s">
        <v>1793</v>
      </c>
      <c r="B408" t="s">
        <v>2010</v>
      </c>
      <c r="C408" t="s">
        <v>2014</v>
      </c>
      <c r="D408">
        <v>2</v>
      </c>
      <c r="E408" t="s">
        <v>1447</v>
      </c>
      <c r="F408" t="s">
        <v>2016</v>
      </c>
      <c r="G408" t="s">
        <v>1811</v>
      </c>
      <c r="H408" t="s">
        <v>1799</v>
      </c>
      <c r="I408">
        <v>1</v>
      </c>
      <c r="J408" t="s">
        <v>1799</v>
      </c>
      <c r="K408" t="s">
        <v>1799</v>
      </c>
      <c r="L408" t="s">
        <v>1799</v>
      </c>
      <c r="M408" t="s">
        <v>1799</v>
      </c>
      <c r="N408" t="s">
        <v>1799</v>
      </c>
      <c r="O408" s="184" t="str">
        <f>"["&amp;$C408&amp;"]["&amp;$D408&amp;"]["&amp;$F408&amp;"]"</f>
        <v>[S06_AccredCertVerifiersAnnexI][2][NumberAccredited]</v>
      </c>
    </row>
    <row r="409" spans="1:15" x14ac:dyDescent="0.3">
      <c r="A409" t="s">
        <v>1793</v>
      </c>
      <c r="B409" t="s">
        <v>2010</v>
      </c>
      <c r="C409" t="s">
        <v>2014</v>
      </c>
      <c r="D409">
        <v>3</v>
      </c>
      <c r="E409" t="s">
        <v>1447</v>
      </c>
      <c r="F409" t="s">
        <v>2016</v>
      </c>
      <c r="G409" t="s">
        <v>1811</v>
      </c>
      <c r="H409" t="s">
        <v>1799</v>
      </c>
      <c r="I409">
        <v>1</v>
      </c>
      <c r="J409" t="s">
        <v>1799</v>
      </c>
      <c r="K409" t="s">
        <v>1799</v>
      </c>
      <c r="L409" t="s">
        <v>1799</v>
      </c>
      <c r="M409" t="s">
        <v>1799</v>
      </c>
      <c r="N409" t="s">
        <v>1799</v>
      </c>
      <c r="O409" s="184" t="str">
        <f>"["&amp;$C409&amp;"]["&amp;$D409&amp;"]["&amp;$F409&amp;"]"</f>
        <v>[S06_AccredCertVerifiersAnnexI][3][NumberAccredited]</v>
      </c>
    </row>
    <row r="410" spans="1:15" x14ac:dyDescent="0.3">
      <c r="A410" t="s">
        <v>1793</v>
      </c>
      <c r="B410" t="s">
        <v>2010</v>
      </c>
      <c r="C410" t="s">
        <v>2014</v>
      </c>
      <c r="D410">
        <v>4</v>
      </c>
      <c r="E410" t="s">
        <v>1447</v>
      </c>
      <c r="F410" t="s">
        <v>2016</v>
      </c>
      <c r="G410" t="s">
        <v>1811</v>
      </c>
      <c r="H410" t="s">
        <v>1799</v>
      </c>
      <c r="I410">
        <v>1</v>
      </c>
      <c r="J410" t="s">
        <v>1799</v>
      </c>
      <c r="K410" t="s">
        <v>1799</v>
      </c>
      <c r="L410" t="s">
        <v>1799</v>
      </c>
      <c r="M410" t="s">
        <v>1799</v>
      </c>
      <c r="N410" t="s">
        <v>1799</v>
      </c>
      <c r="O410" s="184" t="str">
        <f>"["&amp;$C410&amp;"]["&amp;$D410&amp;"]["&amp;$F410&amp;"]"</f>
        <v>[S06_AccredCertVerifiersAnnexI][4][NumberAccredited]</v>
      </c>
    </row>
    <row r="411" spans="1:15" x14ac:dyDescent="0.3">
      <c r="A411" t="s">
        <v>1793</v>
      </c>
      <c r="B411" t="s">
        <v>2010</v>
      </c>
      <c r="C411" t="s">
        <v>2014</v>
      </c>
      <c r="D411">
        <v>5</v>
      </c>
      <c r="E411" t="s">
        <v>1447</v>
      </c>
      <c r="F411" t="s">
        <v>2016</v>
      </c>
      <c r="G411" t="s">
        <v>1811</v>
      </c>
      <c r="H411" t="s">
        <v>1799</v>
      </c>
      <c r="I411">
        <v>1</v>
      </c>
      <c r="J411" t="s">
        <v>1799</v>
      </c>
      <c r="K411" t="s">
        <v>1799</v>
      </c>
      <c r="L411" t="s">
        <v>1799</v>
      </c>
      <c r="M411" t="s">
        <v>1799</v>
      </c>
      <c r="N411" t="s">
        <v>1799</v>
      </c>
      <c r="O411" s="184" t="str">
        <f>"["&amp;$C411&amp;"]["&amp;$D411&amp;"]["&amp;$F411&amp;"]"</f>
        <v>[S06_AccredCertVerifiersAnnexI][5][NumberAccredited]</v>
      </c>
    </row>
    <row r="412" spans="1:15" x14ac:dyDescent="0.3">
      <c r="A412" t="s">
        <v>1793</v>
      </c>
      <c r="B412" t="s">
        <v>2010</v>
      </c>
      <c r="C412" t="s">
        <v>2014</v>
      </c>
      <c r="D412">
        <v>1</v>
      </c>
      <c r="E412" t="s">
        <v>1447</v>
      </c>
      <c r="F412" t="s">
        <v>2017</v>
      </c>
      <c r="G412" t="s">
        <v>1811</v>
      </c>
      <c r="H412" t="s">
        <v>1799</v>
      </c>
      <c r="I412">
        <v>0</v>
      </c>
      <c r="J412" t="s">
        <v>1799</v>
      </c>
      <c r="K412" t="s">
        <v>1799</v>
      </c>
      <c r="L412" t="s">
        <v>1799</v>
      </c>
      <c r="M412" t="s">
        <v>1799</v>
      </c>
      <c r="N412" t="s">
        <v>1799</v>
      </c>
      <c r="O412" s="184" t="str">
        <f>"["&amp;$C412&amp;"]["&amp;$D412&amp;"]["&amp;$F412&amp;"]"</f>
        <v>[S06_AccredCertVerifiersAnnexI][1][NumberCertified]</v>
      </c>
    </row>
    <row r="413" spans="1:15" x14ac:dyDescent="0.3">
      <c r="A413" t="s">
        <v>1793</v>
      </c>
      <c r="B413" t="s">
        <v>2010</v>
      </c>
      <c r="C413" t="s">
        <v>2014</v>
      </c>
      <c r="D413">
        <v>2</v>
      </c>
      <c r="E413" t="s">
        <v>1447</v>
      </c>
      <c r="F413" t="s">
        <v>2017</v>
      </c>
      <c r="G413" t="s">
        <v>1811</v>
      </c>
      <c r="H413" t="s">
        <v>1799</v>
      </c>
      <c r="I413">
        <v>0</v>
      </c>
      <c r="J413" t="s">
        <v>1799</v>
      </c>
      <c r="K413" t="s">
        <v>1799</v>
      </c>
      <c r="L413" t="s">
        <v>1799</v>
      </c>
      <c r="M413" t="s">
        <v>1799</v>
      </c>
      <c r="N413" t="s">
        <v>1799</v>
      </c>
      <c r="O413" s="184" t="str">
        <f>"["&amp;$C413&amp;"]["&amp;$D413&amp;"]["&amp;$F413&amp;"]"</f>
        <v>[S06_AccredCertVerifiersAnnexI][2][NumberCertified]</v>
      </c>
    </row>
    <row r="414" spans="1:15" x14ac:dyDescent="0.3">
      <c r="A414" t="s">
        <v>1793</v>
      </c>
      <c r="B414" t="s">
        <v>2010</v>
      </c>
      <c r="C414" t="s">
        <v>2014</v>
      </c>
      <c r="D414">
        <v>3</v>
      </c>
      <c r="E414" t="s">
        <v>1447</v>
      </c>
      <c r="F414" t="s">
        <v>2017</v>
      </c>
      <c r="G414" t="s">
        <v>1811</v>
      </c>
      <c r="H414" t="s">
        <v>1799</v>
      </c>
      <c r="I414">
        <v>0</v>
      </c>
      <c r="J414" t="s">
        <v>1799</v>
      </c>
      <c r="K414" t="s">
        <v>1799</v>
      </c>
      <c r="L414" t="s">
        <v>1799</v>
      </c>
      <c r="M414" t="s">
        <v>1799</v>
      </c>
      <c r="N414" t="s">
        <v>1799</v>
      </c>
      <c r="O414" s="184" t="str">
        <f>"["&amp;$C414&amp;"]["&amp;$D414&amp;"]["&amp;$F414&amp;"]"</f>
        <v>[S06_AccredCertVerifiersAnnexI][3][NumberCertified]</v>
      </c>
    </row>
    <row r="415" spans="1:15" x14ac:dyDescent="0.3">
      <c r="A415" t="s">
        <v>1793</v>
      </c>
      <c r="B415" t="s">
        <v>2010</v>
      </c>
      <c r="C415" t="s">
        <v>2014</v>
      </c>
      <c r="D415">
        <v>4</v>
      </c>
      <c r="E415" t="s">
        <v>1447</v>
      </c>
      <c r="F415" t="s">
        <v>2017</v>
      </c>
      <c r="G415" t="s">
        <v>1811</v>
      </c>
      <c r="H415" t="s">
        <v>1799</v>
      </c>
      <c r="I415">
        <v>0</v>
      </c>
      <c r="J415" t="s">
        <v>1799</v>
      </c>
      <c r="K415" t="s">
        <v>1799</v>
      </c>
      <c r="L415" t="s">
        <v>1799</v>
      </c>
      <c r="M415" t="s">
        <v>1799</v>
      </c>
      <c r="N415" t="s">
        <v>1799</v>
      </c>
      <c r="O415" s="184" t="str">
        <f>"["&amp;$C415&amp;"]["&amp;$D415&amp;"]["&amp;$F415&amp;"]"</f>
        <v>[S06_AccredCertVerifiersAnnexI][4][NumberCertified]</v>
      </c>
    </row>
    <row r="416" spans="1:15" x14ac:dyDescent="0.3">
      <c r="A416" t="s">
        <v>1793</v>
      </c>
      <c r="B416" t="s">
        <v>2010</v>
      </c>
      <c r="C416" t="s">
        <v>2014</v>
      </c>
      <c r="D416">
        <v>5</v>
      </c>
      <c r="E416" t="s">
        <v>1447</v>
      </c>
      <c r="F416" t="s">
        <v>2017</v>
      </c>
      <c r="G416" t="s">
        <v>1811</v>
      </c>
      <c r="H416" t="s">
        <v>1799</v>
      </c>
      <c r="I416">
        <v>0</v>
      </c>
      <c r="J416" t="s">
        <v>1799</v>
      </c>
      <c r="K416" t="s">
        <v>1799</v>
      </c>
      <c r="L416" t="s">
        <v>1799</v>
      </c>
      <c r="M416" t="s">
        <v>1799</v>
      </c>
      <c r="N416" t="s">
        <v>1799</v>
      </c>
      <c r="O416" s="184" t="str">
        <f>"["&amp;$C416&amp;"]["&amp;$D416&amp;"]["&amp;$F416&amp;"]"</f>
        <v>[S06_AccredCertVerifiersAnnexI][5][NumberCertified]</v>
      </c>
    </row>
    <row r="417" spans="1:15" x14ac:dyDescent="0.3">
      <c r="A417" t="s">
        <v>1793</v>
      </c>
      <c r="B417" t="s">
        <v>2018</v>
      </c>
      <c r="C417" t="s">
        <v>2019</v>
      </c>
      <c r="D417">
        <v>1</v>
      </c>
      <c r="E417" t="s">
        <v>1447</v>
      </c>
      <c r="F417" t="s">
        <v>2020</v>
      </c>
      <c r="G417" t="s">
        <v>1829</v>
      </c>
      <c r="H417" t="s">
        <v>1799</v>
      </c>
      <c r="I417" t="s">
        <v>1799</v>
      </c>
      <c r="J417" t="s">
        <v>1799</v>
      </c>
      <c r="K417" t="s">
        <v>1799</v>
      </c>
      <c r="L417" t="s">
        <v>1419</v>
      </c>
      <c r="M417" t="s">
        <v>1799</v>
      </c>
      <c r="N417" t="s">
        <v>1799</v>
      </c>
      <c r="O417" s="184" t="str">
        <f>"["&amp;$C417&amp;"]["&amp;$D417&amp;"]["&amp;$F417&amp;"]"</f>
        <v>[S06_ApplicationInformationExchangeRequirements1][1][FromOwnMS]</v>
      </c>
    </row>
    <row r="418" spans="1:15" x14ac:dyDescent="0.3">
      <c r="A418" t="s">
        <v>1793</v>
      </c>
      <c r="B418" t="s">
        <v>2018</v>
      </c>
      <c r="C418" t="s">
        <v>2019</v>
      </c>
      <c r="D418">
        <v>1</v>
      </c>
      <c r="E418" t="s">
        <v>1447</v>
      </c>
      <c r="F418" t="s">
        <v>2021</v>
      </c>
      <c r="G418" t="s">
        <v>1829</v>
      </c>
      <c r="H418" t="s">
        <v>1799</v>
      </c>
      <c r="I418" t="s">
        <v>1799</v>
      </c>
      <c r="J418" t="s">
        <v>1799</v>
      </c>
      <c r="K418" t="s">
        <v>1799</v>
      </c>
      <c r="L418" t="s">
        <v>1477</v>
      </c>
      <c r="M418" t="s">
        <v>1799</v>
      </c>
      <c r="N418" t="s">
        <v>1799</v>
      </c>
      <c r="O418" s="184" t="str">
        <f>"["&amp;$C418&amp;"]["&amp;$D418&amp;"]["&amp;$F418&amp;"]"</f>
        <v>[S06_ApplicationInformationExchangeRequirements1][1][FromOtherMS]</v>
      </c>
    </row>
    <row r="419" spans="1:15" x14ac:dyDescent="0.3">
      <c r="A419" t="s">
        <v>1793</v>
      </c>
      <c r="B419" t="s">
        <v>2018</v>
      </c>
      <c r="C419" t="s">
        <v>2019</v>
      </c>
      <c r="D419">
        <v>2</v>
      </c>
      <c r="E419" t="s">
        <v>1447</v>
      </c>
      <c r="F419" t="s">
        <v>2020</v>
      </c>
      <c r="G419" t="s">
        <v>1829</v>
      </c>
      <c r="H419" t="s">
        <v>1799</v>
      </c>
      <c r="I419" t="s">
        <v>1799</v>
      </c>
      <c r="J419" t="s">
        <v>1799</v>
      </c>
      <c r="K419" t="s">
        <v>1799</v>
      </c>
      <c r="L419" t="s">
        <v>1419</v>
      </c>
      <c r="M419" t="s">
        <v>1799</v>
      </c>
      <c r="N419" t="s">
        <v>1799</v>
      </c>
      <c r="O419" s="184" t="str">
        <f>"["&amp;$C419&amp;"]["&amp;$D419&amp;"]["&amp;$F419&amp;"]"</f>
        <v>[S06_ApplicationInformationExchangeRequirements1][2][FromOwnMS]</v>
      </c>
    </row>
    <row r="420" spans="1:15" x14ac:dyDescent="0.3">
      <c r="A420" t="s">
        <v>1793</v>
      </c>
      <c r="B420" t="s">
        <v>2018</v>
      </c>
      <c r="C420" t="s">
        <v>2019</v>
      </c>
      <c r="D420">
        <v>2</v>
      </c>
      <c r="E420" t="s">
        <v>1447</v>
      </c>
      <c r="F420" t="s">
        <v>2021</v>
      </c>
      <c r="G420" t="s">
        <v>1829</v>
      </c>
      <c r="H420" t="s">
        <v>1799</v>
      </c>
      <c r="I420" t="s">
        <v>1799</v>
      </c>
      <c r="J420" t="s">
        <v>1799</v>
      </c>
      <c r="K420" t="s">
        <v>1799</v>
      </c>
      <c r="L420" t="s">
        <v>1447</v>
      </c>
      <c r="M420" t="s">
        <v>1799</v>
      </c>
      <c r="N420" t="s">
        <v>1799</v>
      </c>
      <c r="O420" s="184" t="str">
        <f>"["&amp;$C420&amp;"]["&amp;$D420&amp;"]["&amp;$F420&amp;"]"</f>
        <v>[S06_ApplicationInformationExchangeRequirements1][2][FromOtherMS]</v>
      </c>
    </row>
    <row r="421" spans="1:15" x14ac:dyDescent="0.3">
      <c r="A421" t="s">
        <v>1793</v>
      </c>
      <c r="B421" t="s">
        <v>2018</v>
      </c>
      <c r="C421" t="s">
        <v>2019</v>
      </c>
      <c r="D421">
        <v>3</v>
      </c>
      <c r="E421" t="s">
        <v>1447</v>
      </c>
      <c r="F421" t="s">
        <v>2020</v>
      </c>
      <c r="G421" t="s">
        <v>1829</v>
      </c>
      <c r="H421" t="s">
        <v>1799</v>
      </c>
      <c r="I421" t="s">
        <v>1799</v>
      </c>
      <c r="J421" t="s">
        <v>1799</v>
      </c>
      <c r="K421" t="s">
        <v>1799</v>
      </c>
      <c r="L421" t="s">
        <v>1419</v>
      </c>
      <c r="M421" t="s">
        <v>1799</v>
      </c>
      <c r="N421" t="s">
        <v>1799</v>
      </c>
      <c r="O421" s="184" t="str">
        <f>"["&amp;$C421&amp;"]["&amp;$D421&amp;"]["&amp;$F421&amp;"]"</f>
        <v>[S06_ApplicationInformationExchangeRequirements1][3][FromOwnMS]</v>
      </c>
    </row>
    <row r="422" spans="1:15" x14ac:dyDescent="0.3">
      <c r="A422" t="s">
        <v>1793</v>
      </c>
      <c r="B422" t="s">
        <v>2018</v>
      </c>
      <c r="C422" t="s">
        <v>2019</v>
      </c>
      <c r="D422">
        <v>3</v>
      </c>
      <c r="E422" t="s">
        <v>1447</v>
      </c>
      <c r="F422" t="s">
        <v>2021</v>
      </c>
      <c r="G422" t="s">
        <v>1829</v>
      </c>
      <c r="H422" t="s">
        <v>1799</v>
      </c>
      <c r="I422" t="s">
        <v>1799</v>
      </c>
      <c r="J422" t="s">
        <v>1799</v>
      </c>
      <c r="K422" t="s">
        <v>1799</v>
      </c>
      <c r="L422" t="s">
        <v>1447</v>
      </c>
      <c r="M422" t="s">
        <v>1799</v>
      </c>
      <c r="N422" t="s">
        <v>1799</v>
      </c>
      <c r="O422" s="184" t="str">
        <f>"["&amp;$C422&amp;"]["&amp;$D422&amp;"]["&amp;$F422&amp;"]"</f>
        <v>[S06_ApplicationInformationExchangeRequirements1][3][FromOtherMS]</v>
      </c>
    </row>
    <row r="423" spans="1:15" x14ac:dyDescent="0.3">
      <c r="A423" t="s">
        <v>1793</v>
      </c>
      <c r="B423" t="s">
        <v>2018</v>
      </c>
      <c r="C423" t="s">
        <v>2022</v>
      </c>
      <c r="D423">
        <v>1</v>
      </c>
      <c r="E423" t="s">
        <v>1447</v>
      </c>
      <c r="F423" t="s">
        <v>2023</v>
      </c>
      <c r="G423" t="s">
        <v>1811</v>
      </c>
      <c r="H423" t="s">
        <v>1799</v>
      </c>
      <c r="I423">
        <v>0</v>
      </c>
      <c r="J423" t="s">
        <v>1799</v>
      </c>
      <c r="K423" t="s">
        <v>1799</v>
      </c>
      <c r="L423" t="s">
        <v>1799</v>
      </c>
      <c r="M423" t="s">
        <v>1799</v>
      </c>
      <c r="N423" t="s">
        <v>1799</v>
      </c>
      <c r="O423" s="184" t="str">
        <f>"["&amp;$C423&amp;"]["&amp;$D423&amp;"]["&amp;$F423&amp;"]"</f>
        <v>[S06_ApplicationInformationExchangeRequirements2][1][NumberImposedOnVerifiersSuspension]</v>
      </c>
    </row>
    <row r="424" spans="1:15" x14ac:dyDescent="0.3">
      <c r="A424" t="s">
        <v>1793</v>
      </c>
      <c r="B424" t="s">
        <v>2018</v>
      </c>
      <c r="C424" t="s">
        <v>2022</v>
      </c>
      <c r="D424">
        <v>1</v>
      </c>
      <c r="E424" t="s">
        <v>1447</v>
      </c>
      <c r="F424" t="s">
        <v>2024</v>
      </c>
      <c r="G424" t="s">
        <v>1811</v>
      </c>
      <c r="H424" t="s">
        <v>1799</v>
      </c>
      <c r="I424">
        <v>0</v>
      </c>
      <c r="J424" t="s">
        <v>1799</v>
      </c>
      <c r="K424" t="s">
        <v>1799</v>
      </c>
      <c r="L424" t="s">
        <v>1799</v>
      </c>
      <c r="M424" t="s">
        <v>1799</v>
      </c>
      <c r="N424" t="s">
        <v>1799</v>
      </c>
      <c r="O424" s="184" t="str">
        <f>"["&amp;$C424&amp;"]["&amp;$D424&amp;"]["&amp;$F424&amp;"]"</f>
        <v>[S06_ApplicationInformationExchangeRequirements2][1][NumberImposedOnVerifiersWithdrawal]</v>
      </c>
    </row>
    <row r="425" spans="1:15" x14ac:dyDescent="0.3">
      <c r="A425" t="s">
        <v>1793</v>
      </c>
      <c r="B425" t="s">
        <v>2018</v>
      </c>
      <c r="C425" t="s">
        <v>2022</v>
      </c>
      <c r="D425">
        <v>1</v>
      </c>
      <c r="E425" t="s">
        <v>1447</v>
      </c>
      <c r="F425" t="s">
        <v>2025</v>
      </c>
      <c r="G425" t="s">
        <v>1811</v>
      </c>
      <c r="H425" t="s">
        <v>1799</v>
      </c>
      <c r="I425">
        <v>0</v>
      </c>
      <c r="J425" t="s">
        <v>1799</v>
      </c>
      <c r="K425" t="s">
        <v>1799</v>
      </c>
      <c r="L425" t="s">
        <v>1799</v>
      </c>
      <c r="M425" t="s">
        <v>1799</v>
      </c>
      <c r="N425" t="s">
        <v>1799</v>
      </c>
      <c r="O425" s="184" t="str">
        <f>"["&amp;$C425&amp;"]["&amp;$D425&amp;"]["&amp;$F425&amp;"]"</f>
        <v>[S06_ApplicationInformationExchangeRequirements2][1][NumberImposedOnVerifiersReductionOfScope]</v>
      </c>
    </row>
    <row r="426" spans="1:15" x14ac:dyDescent="0.3">
      <c r="A426" t="s">
        <v>1793</v>
      </c>
      <c r="B426" t="s">
        <v>2018</v>
      </c>
      <c r="C426" t="s">
        <v>2026</v>
      </c>
      <c r="D426">
        <v>0</v>
      </c>
      <c r="E426" t="s">
        <v>1447</v>
      </c>
      <c r="F426" t="s">
        <v>2027</v>
      </c>
      <c r="G426" t="s">
        <v>1811</v>
      </c>
      <c r="H426" t="s">
        <v>1799</v>
      </c>
      <c r="I426">
        <v>0</v>
      </c>
      <c r="J426" t="s">
        <v>1799</v>
      </c>
      <c r="K426" t="s">
        <v>1799</v>
      </c>
      <c r="L426" t="s">
        <v>1799</v>
      </c>
      <c r="M426" t="s">
        <v>1799</v>
      </c>
      <c r="N426" t="s">
        <v>1799</v>
      </c>
      <c r="O426" s="184" t="str">
        <f>"["&amp;$C426&amp;"]["&amp;$D426&amp;"]["&amp;$F426&amp;"]"</f>
        <v>[S06_ApplicationInformationExchangeRequirements3][0][TimesSurveillanceRequested]</v>
      </c>
    </row>
    <row r="427" spans="1:15" x14ac:dyDescent="0.3">
      <c r="A427" t="s">
        <v>1793</v>
      </c>
      <c r="B427" t="s">
        <v>2018</v>
      </c>
      <c r="C427" t="s">
        <v>2028</v>
      </c>
      <c r="D427">
        <v>1</v>
      </c>
      <c r="E427" t="s">
        <v>1447</v>
      </c>
      <c r="F427" t="s">
        <v>2029</v>
      </c>
      <c r="G427" t="s">
        <v>1811</v>
      </c>
      <c r="H427" t="s">
        <v>1799</v>
      </c>
      <c r="I427">
        <v>0</v>
      </c>
      <c r="J427" t="s">
        <v>1799</v>
      </c>
      <c r="K427" t="s">
        <v>1799</v>
      </c>
      <c r="L427" t="s">
        <v>1799</v>
      </c>
      <c r="M427" t="s">
        <v>1799</v>
      </c>
      <c r="N427" t="s">
        <v>1799</v>
      </c>
      <c r="O427" s="184" t="str">
        <f>"["&amp;$C427&amp;"]["&amp;$D427&amp;"]["&amp;$F427&amp;"]"</f>
        <v>[S06_ApplicationInformationExchangeRequirements4][1][NumberOfIssues]</v>
      </c>
    </row>
    <row r="428" spans="1:15" x14ac:dyDescent="0.3">
      <c r="A428" t="s">
        <v>1793</v>
      </c>
      <c r="B428" t="s">
        <v>2018</v>
      </c>
      <c r="C428" t="s">
        <v>2028</v>
      </c>
      <c r="D428">
        <v>1</v>
      </c>
      <c r="E428" t="s">
        <v>1447</v>
      </c>
      <c r="F428" t="s">
        <v>2030</v>
      </c>
      <c r="G428" t="s">
        <v>1811</v>
      </c>
      <c r="H428" t="s">
        <v>1799</v>
      </c>
      <c r="I428">
        <v>0</v>
      </c>
      <c r="J428" t="s">
        <v>1799</v>
      </c>
      <c r="K428" t="s">
        <v>1799</v>
      </c>
      <c r="L428" t="s">
        <v>1799</v>
      </c>
      <c r="M428" t="s">
        <v>1799</v>
      </c>
      <c r="N428" t="s">
        <v>1799</v>
      </c>
      <c r="O428" s="184" t="str">
        <f>"["&amp;$C428&amp;"]["&amp;$D428&amp;"]["&amp;$F428&amp;"]"</f>
        <v>[S06_ApplicationInformationExchangeRequirements4][1][NumberOfIssuesResolved]</v>
      </c>
    </row>
    <row r="429" spans="1:15" x14ac:dyDescent="0.3">
      <c r="A429" t="s">
        <v>1793</v>
      </c>
      <c r="B429" t="s">
        <v>2018</v>
      </c>
      <c r="C429" t="s">
        <v>2028</v>
      </c>
      <c r="D429">
        <v>1</v>
      </c>
      <c r="E429" t="s">
        <v>1447</v>
      </c>
      <c r="F429" t="s">
        <v>2031</v>
      </c>
      <c r="G429" t="s">
        <v>1811</v>
      </c>
      <c r="H429" t="s">
        <v>1799</v>
      </c>
      <c r="I429">
        <v>0</v>
      </c>
      <c r="J429" t="s">
        <v>1799</v>
      </c>
      <c r="K429" t="s">
        <v>1799</v>
      </c>
      <c r="L429" t="s">
        <v>1799</v>
      </c>
      <c r="M429" t="s">
        <v>1799</v>
      </c>
      <c r="N429" t="s">
        <v>1799</v>
      </c>
      <c r="O429" s="184" t="str">
        <f>"["&amp;$C429&amp;"]["&amp;$D429&amp;"]["&amp;$F429&amp;"]"</f>
        <v>[S06_ApplicationInformationExchangeRequirements4][1][NumberOfPriorIssuesResolved]</v>
      </c>
    </row>
    <row r="430" spans="1:15" x14ac:dyDescent="0.3">
      <c r="A430" t="s">
        <v>1793</v>
      </c>
      <c r="B430" t="s">
        <v>2018</v>
      </c>
      <c r="C430" t="s">
        <v>2028</v>
      </c>
      <c r="D430">
        <v>3</v>
      </c>
      <c r="E430" t="s">
        <v>1447</v>
      </c>
      <c r="F430" t="s">
        <v>2029</v>
      </c>
      <c r="G430" t="s">
        <v>1811</v>
      </c>
      <c r="H430" t="s">
        <v>1799</v>
      </c>
      <c r="I430">
        <v>0</v>
      </c>
      <c r="J430" t="s">
        <v>1799</v>
      </c>
      <c r="K430" t="s">
        <v>1799</v>
      </c>
      <c r="L430" t="s">
        <v>1799</v>
      </c>
      <c r="M430" t="s">
        <v>1799</v>
      </c>
      <c r="N430" t="s">
        <v>1799</v>
      </c>
      <c r="O430" s="184" t="str">
        <f>"["&amp;$C430&amp;"]["&amp;$D430&amp;"]["&amp;$F430&amp;"]"</f>
        <v>[S06_ApplicationInformationExchangeRequirements4][3][NumberOfIssues]</v>
      </c>
    </row>
    <row r="431" spans="1:15" x14ac:dyDescent="0.3">
      <c r="A431" t="s">
        <v>1793</v>
      </c>
      <c r="B431" t="s">
        <v>2018</v>
      </c>
      <c r="C431" t="s">
        <v>2028</v>
      </c>
      <c r="D431">
        <v>3</v>
      </c>
      <c r="E431" t="s">
        <v>1447</v>
      </c>
      <c r="F431" t="s">
        <v>2030</v>
      </c>
      <c r="G431" t="s">
        <v>1811</v>
      </c>
      <c r="H431" t="s">
        <v>1799</v>
      </c>
      <c r="I431">
        <v>0</v>
      </c>
      <c r="J431" t="s">
        <v>1799</v>
      </c>
      <c r="K431" t="s">
        <v>1799</v>
      </c>
      <c r="L431" t="s">
        <v>1799</v>
      </c>
      <c r="M431" t="s">
        <v>1799</v>
      </c>
      <c r="N431" t="s">
        <v>1799</v>
      </c>
      <c r="O431" s="184" t="str">
        <f>"["&amp;$C431&amp;"]["&amp;$D431&amp;"]["&amp;$F431&amp;"]"</f>
        <v>[S06_ApplicationInformationExchangeRequirements4][3][NumberOfIssuesResolved]</v>
      </c>
    </row>
    <row r="432" spans="1:15" x14ac:dyDescent="0.3">
      <c r="A432" t="s">
        <v>1793</v>
      </c>
      <c r="B432" t="s">
        <v>2018</v>
      </c>
      <c r="C432" t="s">
        <v>2028</v>
      </c>
      <c r="D432">
        <v>3</v>
      </c>
      <c r="E432" t="s">
        <v>1447</v>
      </c>
      <c r="F432" t="s">
        <v>2031</v>
      </c>
      <c r="G432" t="s">
        <v>1811</v>
      </c>
      <c r="H432" t="s">
        <v>1799</v>
      </c>
      <c r="I432">
        <v>0</v>
      </c>
      <c r="J432" t="s">
        <v>1799</v>
      </c>
      <c r="K432" t="s">
        <v>1799</v>
      </c>
      <c r="L432" t="s">
        <v>1799</v>
      </c>
      <c r="M432" t="s">
        <v>1799</v>
      </c>
      <c r="N432" t="s">
        <v>1799</v>
      </c>
      <c r="O432" s="184" t="str">
        <f>"["&amp;$C432&amp;"]["&amp;$D432&amp;"]["&amp;$F432&amp;"]"</f>
        <v>[S06_ApplicationInformationExchangeRequirements4][3][NumberOfPriorIssuesResolved]</v>
      </c>
    </row>
    <row r="433" spans="1:15" x14ac:dyDescent="0.3">
      <c r="A433" t="s">
        <v>1793</v>
      </c>
      <c r="B433" t="s">
        <v>2032</v>
      </c>
      <c r="C433" t="s">
        <v>2033</v>
      </c>
      <c r="D433">
        <v>1</v>
      </c>
      <c r="E433" t="s">
        <v>1447</v>
      </c>
      <c r="F433" t="s">
        <v>2034</v>
      </c>
      <c r="G433" t="s">
        <v>1811</v>
      </c>
      <c r="H433" t="s">
        <v>1799</v>
      </c>
      <c r="I433">
        <v>0</v>
      </c>
      <c r="J433" t="s">
        <v>1799</v>
      </c>
      <c r="K433" t="s">
        <v>1799</v>
      </c>
      <c r="L433" t="s">
        <v>1799</v>
      </c>
      <c r="M433" t="s">
        <v>1799</v>
      </c>
      <c r="N433" t="s">
        <v>1799</v>
      </c>
      <c r="O433" s="184" t="str">
        <f>"["&amp;$C433&amp;"]["&amp;$D433&amp;"]["&amp;$F433&amp;"]"</f>
        <v>[S06_NegativeOpinionInstallations][1][CountNegativeOpinions]</v>
      </c>
    </row>
    <row r="434" spans="1:15" x14ac:dyDescent="0.3">
      <c r="A434" t="s">
        <v>1793</v>
      </c>
      <c r="B434" t="s">
        <v>2032</v>
      </c>
      <c r="C434" t="s">
        <v>2033</v>
      </c>
      <c r="D434">
        <v>2</v>
      </c>
      <c r="E434" t="s">
        <v>1447</v>
      </c>
      <c r="F434" t="s">
        <v>2034</v>
      </c>
      <c r="G434" t="s">
        <v>1811</v>
      </c>
      <c r="H434" t="s">
        <v>1799</v>
      </c>
      <c r="I434">
        <v>0</v>
      </c>
      <c r="J434" t="s">
        <v>1799</v>
      </c>
      <c r="K434" t="s">
        <v>1799</v>
      </c>
      <c r="L434" t="s">
        <v>1799</v>
      </c>
      <c r="M434" t="s">
        <v>1799</v>
      </c>
      <c r="N434" t="s">
        <v>1799</v>
      </c>
      <c r="O434" s="184" t="str">
        <f>"["&amp;$C434&amp;"]["&amp;$D434&amp;"]["&amp;$F434&amp;"]"</f>
        <v>[S06_NegativeOpinionInstallations][2][CountNegativeOpinions]</v>
      </c>
    </row>
    <row r="435" spans="1:15" x14ac:dyDescent="0.3">
      <c r="A435" t="s">
        <v>1793</v>
      </c>
      <c r="B435" t="s">
        <v>2032</v>
      </c>
      <c r="C435" t="s">
        <v>2033</v>
      </c>
      <c r="D435">
        <v>3</v>
      </c>
      <c r="E435" t="s">
        <v>1447</v>
      </c>
      <c r="F435" t="s">
        <v>2034</v>
      </c>
      <c r="G435" t="s">
        <v>1811</v>
      </c>
      <c r="H435" t="s">
        <v>1799</v>
      </c>
      <c r="I435">
        <v>0</v>
      </c>
      <c r="J435" t="s">
        <v>1799</v>
      </c>
      <c r="K435" t="s">
        <v>1799</v>
      </c>
      <c r="L435" t="s">
        <v>1799</v>
      </c>
      <c r="M435" t="s">
        <v>1799</v>
      </c>
      <c r="N435" t="s">
        <v>1799</v>
      </c>
      <c r="O435" s="184" t="str">
        <f>"["&amp;$C435&amp;"]["&amp;$D435&amp;"]["&amp;$F435&amp;"]"</f>
        <v>[S06_NegativeOpinionInstallations][3][CountNegativeOpinions]</v>
      </c>
    </row>
    <row r="436" spans="1:15" x14ac:dyDescent="0.3">
      <c r="A436" t="s">
        <v>1793</v>
      </c>
      <c r="B436" t="s">
        <v>2032</v>
      </c>
      <c r="C436" t="s">
        <v>2033</v>
      </c>
      <c r="D436">
        <v>4</v>
      </c>
      <c r="E436" t="s">
        <v>1447</v>
      </c>
      <c r="F436" t="s">
        <v>2034</v>
      </c>
      <c r="G436" t="s">
        <v>1811</v>
      </c>
      <c r="H436" t="s">
        <v>1799</v>
      </c>
      <c r="I436">
        <v>0</v>
      </c>
      <c r="J436" t="s">
        <v>1799</v>
      </c>
      <c r="K436" t="s">
        <v>1799</v>
      </c>
      <c r="L436" t="s">
        <v>1799</v>
      </c>
      <c r="M436" t="s">
        <v>1799</v>
      </c>
      <c r="N436" t="s">
        <v>1799</v>
      </c>
      <c r="O436" s="184" t="str">
        <f>"["&amp;$C436&amp;"]["&amp;$D436&amp;"]["&amp;$F436&amp;"]"</f>
        <v>[S06_NegativeOpinionInstallations][4][CountNegativeOpinions]</v>
      </c>
    </row>
    <row r="437" spans="1:15" x14ac:dyDescent="0.3">
      <c r="A437" t="s">
        <v>1793</v>
      </c>
      <c r="B437" t="s">
        <v>2035</v>
      </c>
      <c r="C437" t="s">
        <v>2036</v>
      </c>
      <c r="D437">
        <v>0</v>
      </c>
      <c r="E437" t="s">
        <v>1447</v>
      </c>
      <c r="F437" t="s">
        <v>2036</v>
      </c>
      <c r="G437" t="s">
        <v>1829</v>
      </c>
      <c r="H437" t="s">
        <v>1799</v>
      </c>
      <c r="I437" t="s">
        <v>1799</v>
      </c>
      <c r="J437" t="s">
        <v>1799</v>
      </c>
      <c r="K437" t="s">
        <v>1799</v>
      </c>
      <c r="L437" t="s">
        <v>1419</v>
      </c>
      <c r="M437" t="s">
        <v>1799</v>
      </c>
      <c r="N437" t="s">
        <v>1799</v>
      </c>
      <c r="O437" s="184" t="str">
        <f>"["&amp;$C437&amp;"]["&amp;$D437&amp;"]["&amp;$F437&amp;"]"</f>
        <v>[InstallationsVerificationReportIssues][0][InstallationsVerificationReportIssues]</v>
      </c>
    </row>
    <row r="438" spans="1:15" x14ac:dyDescent="0.3">
      <c r="A438" t="s">
        <v>1793</v>
      </c>
      <c r="B438" t="s">
        <v>2035</v>
      </c>
      <c r="C438" t="s">
        <v>2037</v>
      </c>
      <c r="D438">
        <v>1</v>
      </c>
      <c r="E438" t="s">
        <v>1447</v>
      </c>
      <c r="F438" t="s">
        <v>2038</v>
      </c>
      <c r="G438" t="s">
        <v>1737</v>
      </c>
      <c r="H438" t="s">
        <v>1799</v>
      </c>
      <c r="I438" t="s">
        <v>1799</v>
      </c>
      <c r="J438" t="s">
        <v>1799</v>
      </c>
      <c r="K438" t="s">
        <v>1799</v>
      </c>
      <c r="L438" t="s">
        <v>1448</v>
      </c>
      <c r="M438" t="s">
        <v>1799</v>
      </c>
      <c r="N438" t="s">
        <v>1799</v>
      </c>
      <c r="O438" s="184" t="str">
        <f>"["&amp;$C438&amp;"]["&amp;$D438&amp;"]["&amp;$F438&amp;"]"</f>
        <v>[S06_InstallationsVerificationReportsIssueDetail][1][AnnexIActivity]</v>
      </c>
    </row>
    <row r="439" spans="1:15" x14ac:dyDescent="0.3">
      <c r="A439" t="s">
        <v>1793</v>
      </c>
      <c r="B439" t="s">
        <v>2035</v>
      </c>
      <c r="C439" t="s">
        <v>2037</v>
      </c>
      <c r="D439">
        <v>2</v>
      </c>
      <c r="E439" t="s">
        <v>1447</v>
      </c>
      <c r="F439" t="s">
        <v>2038</v>
      </c>
      <c r="G439" t="s">
        <v>1737</v>
      </c>
      <c r="H439" t="s">
        <v>1799</v>
      </c>
      <c r="I439" t="s">
        <v>1799</v>
      </c>
      <c r="J439" t="s">
        <v>1799</v>
      </c>
      <c r="K439" t="s">
        <v>1799</v>
      </c>
      <c r="L439" t="s">
        <v>1448</v>
      </c>
      <c r="M439" t="s">
        <v>1799</v>
      </c>
      <c r="N439" t="s">
        <v>1799</v>
      </c>
      <c r="O439" s="184" t="str">
        <f>"["&amp;$C439&amp;"]["&amp;$D439&amp;"]["&amp;$F439&amp;"]"</f>
        <v>[S06_InstallationsVerificationReportsIssueDetail][2][AnnexIActivity]</v>
      </c>
    </row>
    <row r="440" spans="1:15" x14ac:dyDescent="0.3">
      <c r="A440" t="s">
        <v>1793</v>
      </c>
      <c r="B440" t="s">
        <v>2035</v>
      </c>
      <c r="C440" t="s">
        <v>2037</v>
      </c>
      <c r="D440">
        <v>3</v>
      </c>
      <c r="E440" t="s">
        <v>1447</v>
      </c>
      <c r="F440" t="s">
        <v>2038</v>
      </c>
      <c r="G440" t="s">
        <v>1737</v>
      </c>
      <c r="H440" t="s">
        <v>1799</v>
      </c>
      <c r="I440" t="s">
        <v>1799</v>
      </c>
      <c r="J440" t="s">
        <v>1799</v>
      </c>
      <c r="K440" t="s">
        <v>1799</v>
      </c>
      <c r="L440" t="s">
        <v>1420</v>
      </c>
      <c r="M440" t="s">
        <v>1799</v>
      </c>
      <c r="N440" t="s">
        <v>1799</v>
      </c>
      <c r="O440" s="184" t="str">
        <f>"["&amp;$C440&amp;"]["&amp;$D440&amp;"]["&amp;$F440&amp;"]"</f>
        <v>[S06_InstallationsVerificationReportsIssueDetail][3][AnnexIActivity]</v>
      </c>
    </row>
    <row r="441" spans="1:15" x14ac:dyDescent="0.3">
      <c r="A441" t="s">
        <v>1793</v>
      </c>
      <c r="B441" t="s">
        <v>2035</v>
      </c>
      <c r="C441" t="s">
        <v>2037</v>
      </c>
      <c r="D441">
        <v>4</v>
      </c>
      <c r="E441" t="s">
        <v>1447</v>
      </c>
      <c r="F441" t="s">
        <v>2038</v>
      </c>
      <c r="G441" t="s">
        <v>1737</v>
      </c>
      <c r="H441" t="s">
        <v>1799</v>
      </c>
      <c r="I441" t="s">
        <v>1799</v>
      </c>
      <c r="J441" t="s">
        <v>1799</v>
      </c>
      <c r="K441" t="s">
        <v>1799</v>
      </c>
      <c r="L441" t="s">
        <v>1420</v>
      </c>
      <c r="M441" t="s">
        <v>1799</v>
      </c>
      <c r="N441" t="s">
        <v>1799</v>
      </c>
      <c r="O441" s="184" t="str">
        <f>"["&amp;$C441&amp;"]["&amp;$D441&amp;"]["&amp;$F441&amp;"]"</f>
        <v>[S06_InstallationsVerificationReportsIssueDetail][4][AnnexIActivity]</v>
      </c>
    </row>
    <row r="442" spans="1:15" x14ac:dyDescent="0.3">
      <c r="A442" t="s">
        <v>1793</v>
      </c>
      <c r="B442" t="s">
        <v>2035</v>
      </c>
      <c r="C442" t="s">
        <v>2037</v>
      </c>
      <c r="D442">
        <v>5</v>
      </c>
      <c r="E442" t="s">
        <v>1447</v>
      </c>
      <c r="F442" t="s">
        <v>2038</v>
      </c>
      <c r="G442" t="s">
        <v>1737</v>
      </c>
      <c r="H442" t="s">
        <v>1799</v>
      </c>
      <c r="I442" t="s">
        <v>1799</v>
      </c>
      <c r="J442" t="s">
        <v>1799</v>
      </c>
      <c r="K442" t="s">
        <v>1799</v>
      </c>
      <c r="L442" t="s">
        <v>1448</v>
      </c>
      <c r="M442" t="s">
        <v>1799</v>
      </c>
      <c r="N442" t="s">
        <v>1799</v>
      </c>
      <c r="O442" s="184" t="str">
        <f>"["&amp;$C442&amp;"]["&amp;$D442&amp;"]["&amp;$F442&amp;"]"</f>
        <v>[S06_InstallationsVerificationReportsIssueDetail][5][AnnexIActivity]</v>
      </c>
    </row>
    <row r="443" spans="1:15" x14ac:dyDescent="0.3">
      <c r="A443" t="s">
        <v>1793</v>
      </c>
      <c r="B443" t="s">
        <v>2035</v>
      </c>
      <c r="C443" t="s">
        <v>2037</v>
      </c>
      <c r="D443">
        <v>6</v>
      </c>
      <c r="E443" t="s">
        <v>1447</v>
      </c>
      <c r="F443" t="s">
        <v>2038</v>
      </c>
      <c r="G443" t="s">
        <v>1737</v>
      </c>
      <c r="H443" t="s">
        <v>1799</v>
      </c>
      <c r="I443" t="s">
        <v>1799</v>
      </c>
      <c r="J443" t="s">
        <v>1799</v>
      </c>
      <c r="K443" t="s">
        <v>1799</v>
      </c>
      <c r="L443" t="s">
        <v>1568</v>
      </c>
      <c r="M443" t="s">
        <v>1799</v>
      </c>
      <c r="N443" t="s">
        <v>1799</v>
      </c>
      <c r="O443" s="184" t="str">
        <f>"["&amp;$C443&amp;"]["&amp;$D443&amp;"]["&amp;$F443&amp;"]"</f>
        <v>[S06_InstallationsVerificationReportsIssueDetail][6][AnnexIActivity]</v>
      </c>
    </row>
    <row r="444" spans="1:15" x14ac:dyDescent="0.3">
      <c r="A444" t="s">
        <v>1793</v>
      </c>
      <c r="B444" t="s">
        <v>2035</v>
      </c>
      <c r="C444" t="s">
        <v>2037</v>
      </c>
      <c r="D444">
        <v>1</v>
      </c>
      <c r="E444" t="s">
        <v>1447</v>
      </c>
      <c r="F444" t="s">
        <v>2039</v>
      </c>
      <c r="G444" t="s">
        <v>1737</v>
      </c>
      <c r="H444" t="s">
        <v>1799</v>
      </c>
      <c r="I444" t="s">
        <v>1799</v>
      </c>
      <c r="J444" t="s">
        <v>1799</v>
      </c>
      <c r="K444" t="s">
        <v>1799</v>
      </c>
      <c r="L444" t="s">
        <v>1467</v>
      </c>
      <c r="M444" t="s">
        <v>1799</v>
      </c>
      <c r="N444" t="s">
        <v>1799</v>
      </c>
      <c r="O444" s="184" t="str">
        <f>"["&amp;$C444&amp;"]["&amp;$D444&amp;"]["&amp;$F444&amp;"]"</f>
        <v>[S06_InstallationsVerificationReportsIssueDetail][1][TypeOfIssue]</v>
      </c>
    </row>
    <row r="445" spans="1:15" x14ac:dyDescent="0.3">
      <c r="A445" t="s">
        <v>1793</v>
      </c>
      <c r="B445" t="s">
        <v>2035</v>
      </c>
      <c r="C445" t="s">
        <v>2037</v>
      </c>
      <c r="D445">
        <v>2</v>
      </c>
      <c r="E445" t="s">
        <v>1447</v>
      </c>
      <c r="F445" t="s">
        <v>2039</v>
      </c>
      <c r="G445" t="s">
        <v>1737</v>
      </c>
      <c r="H445" t="s">
        <v>1799</v>
      </c>
      <c r="I445" t="s">
        <v>1799</v>
      </c>
      <c r="J445" t="s">
        <v>1799</v>
      </c>
      <c r="K445" t="s">
        <v>1799</v>
      </c>
      <c r="L445" t="s">
        <v>1492</v>
      </c>
      <c r="M445" t="s">
        <v>1799</v>
      </c>
      <c r="N445" t="s">
        <v>1799</v>
      </c>
      <c r="O445" s="184" t="str">
        <f>"["&amp;$C445&amp;"]["&amp;$D445&amp;"]["&amp;$F445&amp;"]"</f>
        <v>[S06_InstallationsVerificationReportsIssueDetail][2][TypeOfIssue]</v>
      </c>
    </row>
    <row r="446" spans="1:15" x14ac:dyDescent="0.3">
      <c r="A446" t="s">
        <v>1793</v>
      </c>
      <c r="B446" t="s">
        <v>2035</v>
      </c>
      <c r="C446" t="s">
        <v>2037</v>
      </c>
      <c r="D446">
        <v>3</v>
      </c>
      <c r="E446" t="s">
        <v>1447</v>
      </c>
      <c r="F446" t="s">
        <v>2039</v>
      </c>
      <c r="G446" t="s">
        <v>1737</v>
      </c>
      <c r="H446" t="s">
        <v>1799</v>
      </c>
      <c r="I446" t="s">
        <v>1799</v>
      </c>
      <c r="J446" t="s">
        <v>1799</v>
      </c>
      <c r="K446" t="s">
        <v>1799</v>
      </c>
      <c r="L446" t="s">
        <v>1492</v>
      </c>
      <c r="M446" t="s">
        <v>1799</v>
      </c>
      <c r="N446" t="s">
        <v>1799</v>
      </c>
      <c r="O446" s="184" t="str">
        <f>"["&amp;$C446&amp;"]["&amp;$D446&amp;"]["&amp;$F446&amp;"]"</f>
        <v>[S06_InstallationsVerificationReportsIssueDetail][3][TypeOfIssue]</v>
      </c>
    </row>
    <row r="447" spans="1:15" x14ac:dyDescent="0.3">
      <c r="A447" t="s">
        <v>1793</v>
      </c>
      <c r="B447" t="s">
        <v>2035</v>
      </c>
      <c r="C447" t="s">
        <v>2037</v>
      </c>
      <c r="D447">
        <v>4</v>
      </c>
      <c r="E447" t="s">
        <v>1447</v>
      </c>
      <c r="F447" t="s">
        <v>2039</v>
      </c>
      <c r="G447" t="s">
        <v>1737</v>
      </c>
      <c r="H447" t="s">
        <v>1799</v>
      </c>
      <c r="I447" t="s">
        <v>1799</v>
      </c>
      <c r="J447" t="s">
        <v>1799</v>
      </c>
      <c r="K447" t="s">
        <v>1799</v>
      </c>
      <c r="L447" t="s">
        <v>1512</v>
      </c>
      <c r="M447" t="s">
        <v>1799</v>
      </c>
      <c r="N447" t="s">
        <v>1799</v>
      </c>
      <c r="O447" s="184" t="str">
        <f>"["&amp;$C447&amp;"]["&amp;$D447&amp;"]["&amp;$F447&amp;"]"</f>
        <v>[S06_InstallationsVerificationReportsIssueDetail][4][TypeOfIssue]</v>
      </c>
    </row>
    <row r="448" spans="1:15" x14ac:dyDescent="0.3">
      <c r="A448" t="s">
        <v>1793</v>
      </c>
      <c r="B448" t="s">
        <v>2035</v>
      </c>
      <c r="C448" t="s">
        <v>2037</v>
      </c>
      <c r="D448">
        <v>5</v>
      </c>
      <c r="E448" t="s">
        <v>1447</v>
      </c>
      <c r="F448" t="s">
        <v>2039</v>
      </c>
      <c r="G448" t="s">
        <v>1737</v>
      </c>
      <c r="H448" t="s">
        <v>1799</v>
      </c>
      <c r="I448" t="s">
        <v>1799</v>
      </c>
      <c r="J448" t="s">
        <v>1799</v>
      </c>
      <c r="K448" t="s">
        <v>1799</v>
      </c>
      <c r="L448" t="s">
        <v>1512</v>
      </c>
      <c r="M448" t="s">
        <v>1799</v>
      </c>
      <c r="N448" t="s">
        <v>1799</v>
      </c>
      <c r="O448" s="184" t="str">
        <f>"["&amp;$C448&amp;"]["&amp;$D448&amp;"]["&amp;$F448&amp;"]"</f>
        <v>[S06_InstallationsVerificationReportsIssueDetail][5][TypeOfIssue]</v>
      </c>
    </row>
    <row r="449" spans="1:15" x14ac:dyDescent="0.3">
      <c r="A449" t="s">
        <v>1793</v>
      </c>
      <c r="B449" t="s">
        <v>2035</v>
      </c>
      <c r="C449" t="s">
        <v>2037</v>
      </c>
      <c r="D449">
        <v>6</v>
      </c>
      <c r="E449" t="s">
        <v>1447</v>
      </c>
      <c r="F449" t="s">
        <v>2039</v>
      </c>
      <c r="G449" t="s">
        <v>1737</v>
      </c>
      <c r="H449" t="s">
        <v>1799</v>
      </c>
      <c r="I449" t="s">
        <v>1799</v>
      </c>
      <c r="J449" t="s">
        <v>1799</v>
      </c>
      <c r="K449" t="s">
        <v>1799</v>
      </c>
      <c r="L449" t="s">
        <v>1512</v>
      </c>
      <c r="M449" t="s">
        <v>1799</v>
      </c>
      <c r="N449" t="s">
        <v>1799</v>
      </c>
      <c r="O449" s="184" t="str">
        <f>"["&amp;$C449&amp;"]["&amp;$D449&amp;"]["&amp;$F449&amp;"]"</f>
        <v>[S06_InstallationsVerificationReportsIssueDetail][6][TypeOfIssue]</v>
      </c>
    </row>
    <row r="450" spans="1:15" x14ac:dyDescent="0.3">
      <c r="A450" t="s">
        <v>1793</v>
      </c>
      <c r="B450" t="s">
        <v>2035</v>
      </c>
      <c r="C450" t="s">
        <v>2037</v>
      </c>
      <c r="D450">
        <v>1</v>
      </c>
      <c r="E450" t="s">
        <v>1447</v>
      </c>
      <c r="F450" t="s">
        <v>1872</v>
      </c>
      <c r="G450" t="s">
        <v>1811</v>
      </c>
      <c r="H450" t="s">
        <v>1799</v>
      </c>
      <c r="I450">
        <v>1</v>
      </c>
      <c r="J450" t="s">
        <v>1799</v>
      </c>
      <c r="K450" t="s">
        <v>1799</v>
      </c>
      <c r="L450" t="s">
        <v>1799</v>
      </c>
      <c r="M450" t="s">
        <v>1799</v>
      </c>
      <c r="N450" t="s">
        <v>1799</v>
      </c>
      <c r="O450" s="184" t="str">
        <f>"["&amp;$C450&amp;"]["&amp;$D450&amp;"]["&amp;$F450&amp;"]"</f>
        <v>[S06_InstallationsVerificationReportsIssueDetail][1][NumberOfInstallations]</v>
      </c>
    </row>
    <row r="451" spans="1:15" x14ac:dyDescent="0.3">
      <c r="A451" t="s">
        <v>1793</v>
      </c>
      <c r="B451" t="s">
        <v>2035</v>
      </c>
      <c r="C451" t="s">
        <v>2037</v>
      </c>
      <c r="D451">
        <v>2</v>
      </c>
      <c r="E451" t="s">
        <v>1447</v>
      </c>
      <c r="F451" t="s">
        <v>1872</v>
      </c>
      <c r="G451" t="s">
        <v>1811</v>
      </c>
      <c r="H451" t="s">
        <v>1799</v>
      </c>
      <c r="I451">
        <v>1</v>
      </c>
      <c r="J451" t="s">
        <v>1799</v>
      </c>
      <c r="K451" t="s">
        <v>1799</v>
      </c>
      <c r="L451" t="s">
        <v>1799</v>
      </c>
      <c r="M451" t="s">
        <v>1799</v>
      </c>
      <c r="N451" t="s">
        <v>1799</v>
      </c>
      <c r="O451" s="184" t="str">
        <f>"["&amp;$C451&amp;"]["&amp;$D451&amp;"]["&amp;$F451&amp;"]"</f>
        <v>[S06_InstallationsVerificationReportsIssueDetail][2][NumberOfInstallations]</v>
      </c>
    </row>
    <row r="452" spans="1:15" x14ac:dyDescent="0.3">
      <c r="A452" t="s">
        <v>1793</v>
      </c>
      <c r="B452" t="s">
        <v>2035</v>
      </c>
      <c r="C452" t="s">
        <v>2037</v>
      </c>
      <c r="D452">
        <v>3</v>
      </c>
      <c r="E452" t="s">
        <v>1447</v>
      </c>
      <c r="F452" t="s">
        <v>1872</v>
      </c>
      <c r="G452" t="s">
        <v>1811</v>
      </c>
      <c r="H452" t="s">
        <v>1799</v>
      </c>
      <c r="I452">
        <v>5</v>
      </c>
      <c r="J452" t="s">
        <v>1799</v>
      </c>
      <c r="K452" t="s">
        <v>1799</v>
      </c>
      <c r="L452" t="s">
        <v>1799</v>
      </c>
      <c r="M452" t="s">
        <v>1799</v>
      </c>
      <c r="N452" t="s">
        <v>1799</v>
      </c>
      <c r="O452" s="184" t="str">
        <f>"["&amp;$C452&amp;"]["&amp;$D452&amp;"]["&amp;$F452&amp;"]"</f>
        <v>[S06_InstallationsVerificationReportsIssueDetail][3][NumberOfInstallations]</v>
      </c>
    </row>
    <row r="453" spans="1:15" x14ac:dyDescent="0.3">
      <c r="A453" t="s">
        <v>1793</v>
      </c>
      <c r="B453" t="s">
        <v>2035</v>
      </c>
      <c r="C453" t="s">
        <v>2037</v>
      </c>
      <c r="D453">
        <v>4</v>
      </c>
      <c r="E453" t="s">
        <v>1447</v>
      </c>
      <c r="F453" t="s">
        <v>1872</v>
      </c>
      <c r="G453" t="s">
        <v>1811</v>
      </c>
      <c r="H453" t="s">
        <v>1799</v>
      </c>
      <c r="I453">
        <v>14</v>
      </c>
      <c r="J453" t="s">
        <v>1799</v>
      </c>
      <c r="K453" t="s">
        <v>1799</v>
      </c>
      <c r="L453" t="s">
        <v>1799</v>
      </c>
      <c r="M453" t="s">
        <v>1799</v>
      </c>
      <c r="N453" t="s">
        <v>1799</v>
      </c>
      <c r="O453" s="184" t="str">
        <f>"["&amp;$C453&amp;"]["&amp;$D453&amp;"]["&amp;$F453&amp;"]"</f>
        <v>[S06_InstallationsVerificationReportsIssueDetail][4][NumberOfInstallations]</v>
      </c>
    </row>
    <row r="454" spans="1:15" x14ac:dyDescent="0.3">
      <c r="A454" t="s">
        <v>1793</v>
      </c>
      <c r="B454" t="s">
        <v>2035</v>
      </c>
      <c r="C454" t="s">
        <v>2037</v>
      </c>
      <c r="D454">
        <v>5</v>
      </c>
      <c r="E454" t="s">
        <v>1447</v>
      </c>
      <c r="F454" t="s">
        <v>1872</v>
      </c>
      <c r="G454" t="s">
        <v>1811</v>
      </c>
      <c r="H454" t="s">
        <v>1799</v>
      </c>
      <c r="I454">
        <v>3</v>
      </c>
      <c r="J454" t="s">
        <v>1799</v>
      </c>
      <c r="K454" t="s">
        <v>1799</v>
      </c>
      <c r="L454" t="s">
        <v>1799</v>
      </c>
      <c r="M454" t="s">
        <v>1799</v>
      </c>
      <c r="N454" t="s">
        <v>1799</v>
      </c>
      <c r="O454" s="184" t="str">
        <f>"["&amp;$C454&amp;"]["&amp;$D454&amp;"]["&amp;$F454&amp;"]"</f>
        <v>[S06_InstallationsVerificationReportsIssueDetail][5][NumberOfInstallations]</v>
      </c>
    </row>
    <row r="455" spans="1:15" x14ac:dyDescent="0.3">
      <c r="A455" t="s">
        <v>1793</v>
      </c>
      <c r="B455" t="s">
        <v>2035</v>
      </c>
      <c r="C455" t="s">
        <v>2037</v>
      </c>
      <c r="D455">
        <v>6</v>
      </c>
      <c r="E455" t="s">
        <v>1447</v>
      </c>
      <c r="F455" t="s">
        <v>1872</v>
      </c>
      <c r="G455" t="s">
        <v>1811</v>
      </c>
      <c r="H455" t="s">
        <v>1799</v>
      </c>
      <c r="I455">
        <v>1</v>
      </c>
      <c r="J455" t="s">
        <v>1799</v>
      </c>
      <c r="K455" t="s">
        <v>1799</v>
      </c>
      <c r="L455" t="s">
        <v>1799</v>
      </c>
      <c r="M455" t="s">
        <v>1799</v>
      </c>
      <c r="N455" t="s">
        <v>1799</v>
      </c>
      <c r="O455" s="184" t="str">
        <f>"["&amp;$C455&amp;"]["&amp;$D455&amp;"]["&amp;$F455&amp;"]"</f>
        <v>[S06_InstallationsVerificationReportsIssueDetail][6][NumberOfInstallations]</v>
      </c>
    </row>
    <row r="456" spans="1:15" x14ac:dyDescent="0.3">
      <c r="A456" t="s">
        <v>1793</v>
      </c>
      <c r="B456" t="s">
        <v>2035</v>
      </c>
      <c r="C456" t="s">
        <v>2037</v>
      </c>
      <c r="D456">
        <v>1</v>
      </c>
      <c r="E456" t="s">
        <v>1447</v>
      </c>
      <c r="F456" t="s">
        <v>2029</v>
      </c>
      <c r="G456" t="s">
        <v>1811</v>
      </c>
      <c r="H456" t="s">
        <v>1799</v>
      </c>
      <c r="I456">
        <v>1</v>
      </c>
      <c r="J456" t="s">
        <v>1799</v>
      </c>
      <c r="K456" t="s">
        <v>1799</v>
      </c>
      <c r="L456" t="s">
        <v>1799</v>
      </c>
      <c r="M456" t="s">
        <v>1799</v>
      </c>
      <c r="N456" t="s">
        <v>1799</v>
      </c>
      <c r="O456" s="184" t="str">
        <f>"["&amp;$C456&amp;"]["&amp;$D456&amp;"]["&amp;$F456&amp;"]"</f>
        <v>[S06_InstallationsVerificationReportsIssueDetail][1][NumberOfIssues]</v>
      </c>
    </row>
    <row r="457" spans="1:15" x14ac:dyDescent="0.3">
      <c r="A457" t="s">
        <v>1793</v>
      </c>
      <c r="B457" t="s">
        <v>2035</v>
      </c>
      <c r="C457" t="s">
        <v>2037</v>
      </c>
      <c r="D457">
        <v>2</v>
      </c>
      <c r="E457" t="s">
        <v>1447</v>
      </c>
      <c r="F457" t="s">
        <v>2029</v>
      </c>
      <c r="G457" t="s">
        <v>1811</v>
      </c>
      <c r="H457" t="s">
        <v>1799</v>
      </c>
      <c r="I457">
        <v>1</v>
      </c>
      <c r="J457" t="s">
        <v>1799</v>
      </c>
      <c r="K457" t="s">
        <v>1799</v>
      </c>
      <c r="L457" t="s">
        <v>1799</v>
      </c>
      <c r="M457" t="s">
        <v>1799</v>
      </c>
      <c r="N457" t="s">
        <v>1799</v>
      </c>
      <c r="O457" s="184" t="str">
        <f>"["&amp;$C457&amp;"]["&amp;$D457&amp;"]["&amp;$F457&amp;"]"</f>
        <v>[S06_InstallationsVerificationReportsIssueDetail][2][NumberOfIssues]</v>
      </c>
    </row>
    <row r="458" spans="1:15" x14ac:dyDescent="0.3">
      <c r="A458" t="s">
        <v>1793</v>
      </c>
      <c r="B458" t="s">
        <v>2035</v>
      </c>
      <c r="C458" t="s">
        <v>2037</v>
      </c>
      <c r="D458">
        <v>3</v>
      </c>
      <c r="E458" t="s">
        <v>1447</v>
      </c>
      <c r="F458" t="s">
        <v>2029</v>
      </c>
      <c r="G458" t="s">
        <v>1811</v>
      </c>
      <c r="H458" t="s">
        <v>1799</v>
      </c>
      <c r="I458">
        <v>5</v>
      </c>
      <c r="J458" t="s">
        <v>1799</v>
      </c>
      <c r="K458" t="s">
        <v>1799</v>
      </c>
      <c r="L458" t="s">
        <v>1799</v>
      </c>
      <c r="M458" t="s">
        <v>1799</v>
      </c>
      <c r="N458" t="s">
        <v>1799</v>
      </c>
      <c r="O458" s="184" t="str">
        <f>"["&amp;$C458&amp;"]["&amp;$D458&amp;"]["&amp;$F458&amp;"]"</f>
        <v>[S06_InstallationsVerificationReportsIssueDetail][3][NumberOfIssues]</v>
      </c>
    </row>
    <row r="459" spans="1:15" x14ac:dyDescent="0.3">
      <c r="A459" t="s">
        <v>1793</v>
      </c>
      <c r="B459" t="s">
        <v>2035</v>
      </c>
      <c r="C459" t="s">
        <v>2037</v>
      </c>
      <c r="D459">
        <v>4</v>
      </c>
      <c r="E459" t="s">
        <v>1447</v>
      </c>
      <c r="F459" t="s">
        <v>2029</v>
      </c>
      <c r="G459" t="s">
        <v>1811</v>
      </c>
      <c r="H459" t="s">
        <v>1799</v>
      </c>
      <c r="I459">
        <v>14</v>
      </c>
      <c r="J459" t="s">
        <v>1799</v>
      </c>
      <c r="K459" t="s">
        <v>1799</v>
      </c>
      <c r="L459" t="s">
        <v>1799</v>
      </c>
      <c r="M459" t="s">
        <v>1799</v>
      </c>
      <c r="N459" t="s">
        <v>1799</v>
      </c>
      <c r="O459" s="184" t="str">
        <f>"["&amp;$C459&amp;"]["&amp;$D459&amp;"]["&amp;$F459&amp;"]"</f>
        <v>[S06_InstallationsVerificationReportsIssueDetail][4][NumberOfIssues]</v>
      </c>
    </row>
    <row r="460" spans="1:15" x14ac:dyDescent="0.3">
      <c r="A460" t="s">
        <v>1793</v>
      </c>
      <c r="B460" t="s">
        <v>2035</v>
      </c>
      <c r="C460" t="s">
        <v>2037</v>
      </c>
      <c r="D460">
        <v>5</v>
      </c>
      <c r="E460" t="s">
        <v>1447</v>
      </c>
      <c r="F460" t="s">
        <v>2029</v>
      </c>
      <c r="G460" t="s">
        <v>1811</v>
      </c>
      <c r="H460" t="s">
        <v>1799</v>
      </c>
      <c r="I460">
        <v>3</v>
      </c>
      <c r="J460" t="s">
        <v>1799</v>
      </c>
      <c r="K460" t="s">
        <v>1799</v>
      </c>
      <c r="L460" t="s">
        <v>1799</v>
      </c>
      <c r="M460" t="s">
        <v>1799</v>
      </c>
      <c r="N460" t="s">
        <v>1799</v>
      </c>
      <c r="O460" s="184" t="str">
        <f>"["&amp;$C460&amp;"]["&amp;$D460&amp;"]["&amp;$F460&amp;"]"</f>
        <v>[S06_InstallationsVerificationReportsIssueDetail][5][NumberOfIssues]</v>
      </c>
    </row>
    <row r="461" spans="1:15" x14ac:dyDescent="0.3">
      <c r="A461" t="s">
        <v>1793</v>
      </c>
      <c r="B461" t="s">
        <v>2035</v>
      </c>
      <c r="C461" t="s">
        <v>2037</v>
      </c>
      <c r="D461">
        <v>6</v>
      </c>
      <c r="E461" t="s">
        <v>1447</v>
      </c>
      <c r="F461" t="s">
        <v>2029</v>
      </c>
      <c r="G461" t="s">
        <v>1811</v>
      </c>
      <c r="H461" t="s">
        <v>1799</v>
      </c>
      <c r="I461">
        <v>1</v>
      </c>
      <c r="J461" t="s">
        <v>1799</v>
      </c>
      <c r="K461" t="s">
        <v>1799</v>
      </c>
      <c r="L461" t="s">
        <v>1799</v>
      </c>
      <c r="M461" t="s">
        <v>1799</v>
      </c>
      <c r="N461" t="s">
        <v>1799</v>
      </c>
      <c r="O461" s="184" t="str">
        <f>"["&amp;$C461&amp;"]["&amp;$D461&amp;"]["&amp;$F461&amp;"]"</f>
        <v>[S06_InstallationsVerificationReportsIssueDetail][6][NumberOfIssues]</v>
      </c>
    </row>
    <row r="462" spans="1:15" x14ac:dyDescent="0.3">
      <c r="A462" t="s">
        <v>1793</v>
      </c>
      <c r="B462" t="s">
        <v>2035</v>
      </c>
      <c r="C462" t="s">
        <v>2037</v>
      </c>
      <c r="D462">
        <v>1</v>
      </c>
      <c r="E462" t="s">
        <v>1447</v>
      </c>
      <c r="F462" t="s">
        <v>2040</v>
      </c>
      <c r="G462" t="s">
        <v>1913</v>
      </c>
      <c r="H462" t="s">
        <v>1799</v>
      </c>
      <c r="I462" t="s">
        <v>1799</v>
      </c>
      <c r="J462">
        <v>0</v>
      </c>
      <c r="K462" t="s">
        <v>1799</v>
      </c>
      <c r="L462" t="s">
        <v>1799</v>
      </c>
      <c r="M462" t="s">
        <v>1799</v>
      </c>
      <c r="N462" t="s">
        <v>1799</v>
      </c>
      <c r="O462" s="184" t="str">
        <f>"["&amp;$C462&amp;"]["&amp;$D462&amp;"]["&amp;$F462&amp;"]"</f>
        <v>[S06_InstallationsVerificationReportsIssueDetail][1][ShareOfReportsConservativeEstimate]</v>
      </c>
    </row>
    <row r="463" spans="1:15" x14ac:dyDescent="0.3">
      <c r="A463" t="s">
        <v>1793</v>
      </c>
      <c r="B463" t="s">
        <v>2035</v>
      </c>
      <c r="C463" t="s">
        <v>2037</v>
      </c>
      <c r="D463">
        <v>2</v>
      </c>
      <c r="E463" t="s">
        <v>1447</v>
      </c>
      <c r="F463" t="s">
        <v>2040</v>
      </c>
      <c r="G463" t="s">
        <v>1913</v>
      </c>
      <c r="H463" t="s">
        <v>1799</v>
      </c>
      <c r="I463" t="s">
        <v>1799</v>
      </c>
      <c r="J463">
        <v>0</v>
      </c>
      <c r="K463" t="s">
        <v>1799</v>
      </c>
      <c r="L463" t="s">
        <v>1799</v>
      </c>
      <c r="M463" t="s">
        <v>1799</v>
      </c>
      <c r="N463" t="s">
        <v>1799</v>
      </c>
      <c r="O463" s="184" t="str">
        <f>"["&amp;$C463&amp;"]["&amp;$D463&amp;"]["&amp;$F463&amp;"]"</f>
        <v>[S06_InstallationsVerificationReportsIssueDetail][2][ShareOfReportsConservativeEstimate]</v>
      </c>
    </row>
    <row r="464" spans="1:15" x14ac:dyDescent="0.3">
      <c r="A464" t="s">
        <v>1793</v>
      </c>
      <c r="B464" t="s">
        <v>2035</v>
      </c>
      <c r="C464" t="s">
        <v>2037</v>
      </c>
      <c r="D464">
        <v>3</v>
      </c>
      <c r="E464" t="s">
        <v>1447</v>
      </c>
      <c r="F464" t="s">
        <v>2040</v>
      </c>
      <c r="G464" t="s">
        <v>1913</v>
      </c>
      <c r="H464" t="s">
        <v>1799</v>
      </c>
      <c r="I464" t="s">
        <v>1799</v>
      </c>
      <c r="J464">
        <v>0</v>
      </c>
      <c r="K464" t="s">
        <v>1799</v>
      </c>
      <c r="L464" t="s">
        <v>1799</v>
      </c>
      <c r="M464" t="s">
        <v>1799</v>
      </c>
      <c r="N464" t="s">
        <v>1799</v>
      </c>
      <c r="O464" s="184" t="str">
        <f>"["&amp;$C464&amp;"]["&amp;$D464&amp;"]["&amp;$F464&amp;"]"</f>
        <v>[S06_InstallationsVerificationReportsIssueDetail][3][ShareOfReportsConservativeEstimate]</v>
      </c>
    </row>
    <row r="465" spans="1:15" x14ac:dyDescent="0.3">
      <c r="A465" t="s">
        <v>1793</v>
      </c>
      <c r="B465" t="s">
        <v>2035</v>
      </c>
      <c r="C465" t="s">
        <v>2037</v>
      </c>
      <c r="D465">
        <v>4</v>
      </c>
      <c r="E465" t="s">
        <v>1447</v>
      </c>
      <c r="F465" t="s">
        <v>2040</v>
      </c>
      <c r="G465" t="s">
        <v>1913</v>
      </c>
      <c r="H465" t="s">
        <v>1799</v>
      </c>
      <c r="I465" t="s">
        <v>1799</v>
      </c>
      <c r="J465">
        <v>0</v>
      </c>
      <c r="K465" t="s">
        <v>1799</v>
      </c>
      <c r="L465" t="s">
        <v>1799</v>
      </c>
      <c r="M465" t="s">
        <v>1799</v>
      </c>
      <c r="N465" t="s">
        <v>1799</v>
      </c>
      <c r="O465" s="184" t="str">
        <f>"["&amp;$C465&amp;"]["&amp;$D465&amp;"]["&amp;$F465&amp;"]"</f>
        <v>[S06_InstallationsVerificationReportsIssueDetail][4][ShareOfReportsConservativeEstimate]</v>
      </c>
    </row>
    <row r="466" spans="1:15" x14ac:dyDescent="0.3">
      <c r="A466" t="s">
        <v>1793</v>
      </c>
      <c r="B466" t="s">
        <v>2035</v>
      </c>
      <c r="C466" t="s">
        <v>2037</v>
      </c>
      <c r="D466">
        <v>5</v>
      </c>
      <c r="E466" t="s">
        <v>1447</v>
      </c>
      <c r="F466" t="s">
        <v>2040</v>
      </c>
      <c r="G466" t="s">
        <v>1913</v>
      </c>
      <c r="H466" t="s">
        <v>1799</v>
      </c>
      <c r="I466" t="s">
        <v>1799</v>
      </c>
      <c r="J466">
        <v>0</v>
      </c>
      <c r="K466" t="s">
        <v>1799</v>
      </c>
      <c r="L466" t="s">
        <v>1799</v>
      </c>
      <c r="M466" t="s">
        <v>1799</v>
      </c>
      <c r="N466" t="s">
        <v>1799</v>
      </c>
      <c r="O466" s="184" t="str">
        <f>"["&amp;$C466&amp;"]["&amp;$D466&amp;"]["&amp;$F466&amp;"]"</f>
        <v>[S06_InstallationsVerificationReportsIssueDetail][5][ShareOfReportsConservativeEstimate]</v>
      </c>
    </row>
    <row r="467" spans="1:15" x14ac:dyDescent="0.3">
      <c r="A467" t="s">
        <v>1793</v>
      </c>
      <c r="B467" t="s">
        <v>2035</v>
      </c>
      <c r="C467" t="s">
        <v>2037</v>
      </c>
      <c r="D467">
        <v>6</v>
      </c>
      <c r="E467" t="s">
        <v>1447</v>
      </c>
      <c r="F467" t="s">
        <v>2040</v>
      </c>
      <c r="G467" t="s">
        <v>1913</v>
      </c>
      <c r="H467" t="s">
        <v>1799</v>
      </c>
      <c r="I467" t="s">
        <v>1799</v>
      </c>
      <c r="J467">
        <v>0</v>
      </c>
      <c r="K467" t="s">
        <v>1799</v>
      </c>
      <c r="L467" t="s">
        <v>1799</v>
      </c>
      <c r="M467" t="s">
        <v>1799</v>
      </c>
      <c r="N467" t="s">
        <v>1799</v>
      </c>
      <c r="O467" s="184" t="str">
        <f>"["&amp;$C467&amp;"]["&amp;$D467&amp;"]["&amp;$F467&amp;"]"</f>
        <v>[S06_InstallationsVerificationReportsIssueDetail][6][ShareOfReportsConservativeEstimate]</v>
      </c>
    </row>
    <row r="468" spans="1:15" x14ac:dyDescent="0.3">
      <c r="A468" t="s">
        <v>1793</v>
      </c>
      <c r="B468" t="s">
        <v>2041</v>
      </c>
      <c r="C468" t="s">
        <v>2042</v>
      </c>
      <c r="D468">
        <v>0</v>
      </c>
      <c r="E468" t="s">
        <v>1447</v>
      </c>
      <c r="F468" t="s">
        <v>2042</v>
      </c>
      <c r="G468" t="s">
        <v>1829</v>
      </c>
      <c r="H468" t="s">
        <v>1799</v>
      </c>
      <c r="I468" t="s">
        <v>1799</v>
      </c>
      <c r="J468" t="s">
        <v>1799</v>
      </c>
      <c r="K468" t="s">
        <v>1799</v>
      </c>
      <c r="L468" t="s">
        <v>1419</v>
      </c>
      <c r="M468" t="s">
        <v>1799</v>
      </c>
      <c r="N468" t="s">
        <v>1799</v>
      </c>
      <c r="O468" s="184" t="str">
        <f>"["&amp;$C468&amp;"]["&amp;$D468&amp;"]["&amp;$F468&amp;"]"</f>
        <v>[InstallationsVerificationReportChecks][0][InstallationsVerificationReportChecks]</v>
      </c>
    </row>
    <row r="469" spans="1:15" x14ac:dyDescent="0.3">
      <c r="A469" t="s">
        <v>1793</v>
      </c>
      <c r="B469" t="s">
        <v>2041</v>
      </c>
      <c r="C469" t="s">
        <v>2043</v>
      </c>
      <c r="D469">
        <v>1</v>
      </c>
      <c r="E469" t="s">
        <v>1447</v>
      </c>
      <c r="F469" t="s">
        <v>2044</v>
      </c>
      <c r="G469" t="s">
        <v>1913</v>
      </c>
      <c r="H469" t="s">
        <v>1799</v>
      </c>
      <c r="I469" t="s">
        <v>1799</v>
      </c>
      <c r="J469">
        <v>1</v>
      </c>
      <c r="K469" t="s">
        <v>1799</v>
      </c>
      <c r="L469" t="s">
        <v>1799</v>
      </c>
      <c r="M469" t="s">
        <v>1799</v>
      </c>
      <c r="N469" t="s">
        <v>1799</v>
      </c>
      <c r="O469" s="184" t="str">
        <f>"["&amp;$C469&amp;"]["&amp;$D469&amp;"]["&amp;$F469&amp;"]"</f>
        <v>[S06_InstallationsVerificationReportChecksDetail1][1][PercentageShare]</v>
      </c>
    </row>
    <row r="470" spans="1:15" x14ac:dyDescent="0.3">
      <c r="A470" t="s">
        <v>1793</v>
      </c>
      <c r="B470" t="s">
        <v>2041</v>
      </c>
      <c r="C470" t="s">
        <v>2043</v>
      </c>
      <c r="D470">
        <v>2</v>
      </c>
      <c r="E470" t="s">
        <v>1447</v>
      </c>
      <c r="F470" t="s">
        <v>2044</v>
      </c>
      <c r="G470" t="s">
        <v>1913</v>
      </c>
      <c r="H470" t="s">
        <v>1799</v>
      </c>
      <c r="I470" t="s">
        <v>1799</v>
      </c>
      <c r="J470">
        <v>1</v>
      </c>
      <c r="K470" t="s">
        <v>1799</v>
      </c>
      <c r="L470" t="s">
        <v>1799</v>
      </c>
      <c r="M470" t="s">
        <v>1799</v>
      </c>
      <c r="N470" t="s">
        <v>1799</v>
      </c>
      <c r="O470" s="184" t="str">
        <f>"["&amp;$C470&amp;"]["&amp;$D470&amp;"]["&amp;$F470&amp;"]"</f>
        <v>[S06_InstallationsVerificationReportChecksDetail1][2][PercentageShare]</v>
      </c>
    </row>
    <row r="471" spans="1:15" x14ac:dyDescent="0.3">
      <c r="A471" t="s">
        <v>1793</v>
      </c>
      <c r="B471" t="s">
        <v>2041</v>
      </c>
      <c r="C471" t="s">
        <v>2043</v>
      </c>
      <c r="D471">
        <v>3</v>
      </c>
      <c r="E471" t="s">
        <v>1447</v>
      </c>
      <c r="F471" t="s">
        <v>2044</v>
      </c>
      <c r="G471" t="s">
        <v>1913</v>
      </c>
      <c r="H471" t="s">
        <v>1799</v>
      </c>
      <c r="I471" t="s">
        <v>1799</v>
      </c>
      <c r="J471">
        <v>1</v>
      </c>
      <c r="K471" t="s">
        <v>1799</v>
      </c>
      <c r="L471" t="s">
        <v>1799</v>
      </c>
      <c r="M471" t="s">
        <v>1799</v>
      </c>
      <c r="N471" t="s">
        <v>1799</v>
      </c>
      <c r="O471" s="184" t="str">
        <f>"["&amp;$C471&amp;"]["&amp;$D471&amp;"]["&amp;$F471&amp;"]"</f>
        <v>[S06_InstallationsVerificationReportChecksDetail1][3][PercentageShare]</v>
      </c>
    </row>
    <row r="472" spans="1:15" x14ac:dyDescent="0.3">
      <c r="A472" t="s">
        <v>1793</v>
      </c>
      <c r="B472" t="s">
        <v>2041</v>
      </c>
      <c r="C472" t="s">
        <v>2043</v>
      </c>
      <c r="D472">
        <v>4</v>
      </c>
      <c r="E472" t="s">
        <v>1447</v>
      </c>
      <c r="F472" t="s">
        <v>2044</v>
      </c>
      <c r="G472" t="s">
        <v>1913</v>
      </c>
      <c r="H472" t="s">
        <v>1799</v>
      </c>
      <c r="I472" t="s">
        <v>1799</v>
      </c>
      <c r="J472">
        <v>1</v>
      </c>
      <c r="K472" t="s">
        <v>1799</v>
      </c>
      <c r="L472" t="s">
        <v>1799</v>
      </c>
      <c r="M472" t="s">
        <v>1799</v>
      </c>
      <c r="N472" t="s">
        <v>1799</v>
      </c>
      <c r="O472" s="184" t="str">
        <f>"["&amp;$C472&amp;"]["&amp;$D472&amp;"]["&amp;$F472&amp;"]"</f>
        <v>[S06_InstallationsVerificationReportChecksDetail1][4][PercentageShare]</v>
      </c>
    </row>
    <row r="473" spans="1:15" x14ac:dyDescent="0.3">
      <c r="A473" t="s">
        <v>1793</v>
      </c>
      <c r="B473" t="s">
        <v>2041</v>
      </c>
      <c r="C473" t="s">
        <v>2043</v>
      </c>
      <c r="D473">
        <v>5</v>
      </c>
      <c r="E473" t="s">
        <v>1447</v>
      </c>
      <c r="F473" t="s">
        <v>2044</v>
      </c>
      <c r="G473" t="s">
        <v>1913</v>
      </c>
      <c r="H473" t="s">
        <v>1799</v>
      </c>
      <c r="I473" t="s">
        <v>1799</v>
      </c>
      <c r="J473">
        <v>1</v>
      </c>
      <c r="K473" t="s">
        <v>1799</v>
      </c>
      <c r="L473" t="s">
        <v>1799</v>
      </c>
      <c r="M473" t="s">
        <v>1799</v>
      </c>
      <c r="N473" t="s">
        <v>1799</v>
      </c>
      <c r="O473" s="184" t="str">
        <f>"["&amp;$C473&amp;"]["&amp;$D473&amp;"]["&amp;$F473&amp;"]"</f>
        <v>[S06_InstallationsVerificationReportChecksDetail1][5][PercentageShare]</v>
      </c>
    </row>
    <row r="474" spans="1:15" x14ac:dyDescent="0.3">
      <c r="A474" t="s">
        <v>1793</v>
      </c>
      <c r="B474" t="s">
        <v>2041</v>
      </c>
      <c r="C474" t="s">
        <v>2043</v>
      </c>
      <c r="D474">
        <v>4</v>
      </c>
      <c r="E474" t="s">
        <v>1447</v>
      </c>
      <c r="F474" t="s">
        <v>2045</v>
      </c>
      <c r="G474" t="s">
        <v>1862</v>
      </c>
      <c r="H474" t="s">
        <v>1799</v>
      </c>
      <c r="I474" t="s">
        <v>1799</v>
      </c>
      <c r="J474" t="s">
        <v>1799</v>
      </c>
      <c r="K474" t="s">
        <v>2046</v>
      </c>
      <c r="L474" t="s">
        <v>1799</v>
      </c>
      <c r="M474" t="s">
        <v>1799</v>
      </c>
      <c r="N474" t="s">
        <v>1799</v>
      </c>
      <c r="O474" s="184" t="str">
        <f>"["&amp;$C474&amp;"]["&amp;$D474&amp;"]["&amp;$F474&amp;"]"</f>
        <v>[S06_InstallationsVerificationReportChecksDetail1][4][FurtherInformation]</v>
      </c>
    </row>
    <row r="475" spans="1:15" x14ac:dyDescent="0.3">
      <c r="A475" t="s">
        <v>1793</v>
      </c>
      <c r="B475" t="s">
        <v>2041</v>
      </c>
      <c r="C475" t="s">
        <v>2043</v>
      </c>
      <c r="D475">
        <v>5</v>
      </c>
      <c r="E475" t="s">
        <v>1447</v>
      </c>
      <c r="F475" t="s">
        <v>2045</v>
      </c>
      <c r="G475" t="s">
        <v>1862</v>
      </c>
      <c r="H475" t="s">
        <v>1799</v>
      </c>
      <c r="I475" t="s">
        <v>1799</v>
      </c>
      <c r="J475" t="s">
        <v>1799</v>
      </c>
      <c r="K475" t="s">
        <v>2047</v>
      </c>
      <c r="L475" t="s">
        <v>1799</v>
      </c>
      <c r="M475" t="s">
        <v>1799</v>
      </c>
      <c r="N475" t="s">
        <v>1799</v>
      </c>
      <c r="O475" s="184" t="str">
        <f>"["&amp;$C475&amp;"]["&amp;$D475&amp;"]["&amp;$F475&amp;"]"</f>
        <v>[S06_InstallationsVerificationReportChecksDetail1][5][FurtherInformation]</v>
      </c>
    </row>
    <row r="476" spans="1:15" x14ac:dyDescent="0.3">
      <c r="A476" t="s">
        <v>1793</v>
      </c>
      <c r="B476" t="s">
        <v>2041</v>
      </c>
      <c r="C476" t="s">
        <v>2043</v>
      </c>
      <c r="D476">
        <v>5</v>
      </c>
      <c r="E476" t="s">
        <v>1447</v>
      </c>
      <c r="F476" t="s">
        <v>2048</v>
      </c>
      <c r="G476" t="s">
        <v>1737</v>
      </c>
      <c r="H476" t="s">
        <v>1799</v>
      </c>
      <c r="I476" t="s">
        <v>1799</v>
      </c>
      <c r="J476" t="s">
        <v>1799</v>
      </c>
      <c r="K476" t="s">
        <v>1799</v>
      </c>
      <c r="L476" t="s">
        <v>1234</v>
      </c>
      <c r="M476" t="s">
        <v>1799</v>
      </c>
      <c r="N476" t="s">
        <v>1799</v>
      </c>
      <c r="O476" s="184" t="str">
        <f>"["&amp;$C476&amp;"]["&amp;$D476&amp;"]["&amp;$F476&amp;"]"</f>
        <v>[S06_InstallationsVerificationReportChecksDetail1][5][SelectingCriteria]</v>
      </c>
    </row>
    <row r="477" spans="1:15" x14ac:dyDescent="0.3">
      <c r="A477" t="s">
        <v>1793</v>
      </c>
      <c r="B477" t="s">
        <v>2041</v>
      </c>
      <c r="C477" t="s">
        <v>2049</v>
      </c>
      <c r="D477">
        <v>1</v>
      </c>
      <c r="E477" t="s">
        <v>1447</v>
      </c>
      <c r="F477" t="s">
        <v>2050</v>
      </c>
      <c r="G477" t="s">
        <v>1811</v>
      </c>
      <c r="H477" t="s">
        <v>1799</v>
      </c>
      <c r="I477">
        <v>0</v>
      </c>
      <c r="J477" t="s">
        <v>1799</v>
      </c>
      <c r="K477" t="s">
        <v>1799</v>
      </c>
      <c r="L477" t="s">
        <v>1799</v>
      </c>
      <c r="M477" t="s">
        <v>1799</v>
      </c>
      <c r="N477" t="s">
        <v>1799</v>
      </c>
      <c r="O477" s="184" t="str">
        <f>"["&amp;$C477&amp;"]["&amp;$D477&amp;"]["&amp;$F477&amp;"]"</f>
        <v>[S06_InstallationsVerificationReportChecksDetail2][1][NumberOfReports]</v>
      </c>
    </row>
    <row r="478" spans="1:15" x14ac:dyDescent="0.3">
      <c r="A478" t="s">
        <v>1793</v>
      </c>
      <c r="B478" t="s">
        <v>2041</v>
      </c>
      <c r="C478" t="s">
        <v>2049</v>
      </c>
      <c r="D478">
        <v>2</v>
      </c>
      <c r="E478" t="s">
        <v>1447</v>
      </c>
      <c r="F478" t="s">
        <v>2050</v>
      </c>
      <c r="G478" t="s">
        <v>1811</v>
      </c>
      <c r="H478" t="s">
        <v>1799</v>
      </c>
      <c r="I478">
        <v>0</v>
      </c>
      <c r="J478" t="s">
        <v>1799</v>
      </c>
      <c r="K478" t="s">
        <v>1799</v>
      </c>
      <c r="L478" t="s">
        <v>1799</v>
      </c>
      <c r="M478" t="s">
        <v>1799</v>
      </c>
      <c r="N478" t="s">
        <v>1799</v>
      </c>
      <c r="O478" s="184" t="str">
        <f>"["&amp;$C478&amp;"]["&amp;$D478&amp;"]["&amp;$F478&amp;"]"</f>
        <v>[S06_InstallationsVerificationReportChecksDetail2][2][NumberOfReports]</v>
      </c>
    </row>
    <row r="479" spans="1:15" x14ac:dyDescent="0.3">
      <c r="A479" t="s">
        <v>1793</v>
      </c>
      <c r="B479" t="s">
        <v>2041</v>
      </c>
      <c r="C479" t="s">
        <v>2051</v>
      </c>
      <c r="D479">
        <v>1</v>
      </c>
      <c r="E479" t="s">
        <v>1447</v>
      </c>
      <c r="F479" t="s">
        <v>2052</v>
      </c>
      <c r="G479" t="s">
        <v>1797</v>
      </c>
      <c r="H479" t="s">
        <v>2053</v>
      </c>
      <c r="I479" t="s">
        <v>1799</v>
      </c>
      <c r="J479" t="s">
        <v>1799</v>
      </c>
      <c r="K479" t="s">
        <v>1799</v>
      </c>
      <c r="L479" t="s">
        <v>1799</v>
      </c>
      <c r="M479" t="s">
        <v>1799</v>
      </c>
      <c r="N479" t="s">
        <v>1799</v>
      </c>
      <c r="O479" s="184" t="str">
        <f>"["&amp;$C479&amp;"]["&amp;$D479&amp;"]["&amp;$F479&amp;"]"</f>
        <v>[S06_InstallationsVerificationReportChecksDetail3][1][ActionsTaken]</v>
      </c>
    </row>
    <row r="480" spans="1:15" x14ac:dyDescent="0.3">
      <c r="A480" t="s">
        <v>1793</v>
      </c>
      <c r="B480" t="s">
        <v>2041</v>
      </c>
      <c r="C480" t="s">
        <v>2051</v>
      </c>
      <c r="D480">
        <v>2</v>
      </c>
      <c r="E480" t="s">
        <v>1419</v>
      </c>
      <c r="F480" t="s">
        <v>2052</v>
      </c>
      <c r="G480" t="s">
        <v>1862</v>
      </c>
      <c r="H480" t="s">
        <v>1799</v>
      </c>
      <c r="I480" t="s">
        <v>1799</v>
      </c>
      <c r="J480" t="s">
        <v>1799</v>
      </c>
      <c r="K480" t="s">
        <v>2053</v>
      </c>
      <c r="L480" t="s">
        <v>1799</v>
      </c>
      <c r="M480" t="s">
        <v>1799</v>
      </c>
      <c r="N480" t="s">
        <v>1799</v>
      </c>
      <c r="O480" s="184" t="str">
        <f>"["&amp;$C480&amp;"]["&amp;$D480&amp;"]["&amp;$F480&amp;"]"</f>
        <v>[S06_InstallationsVerificationReportChecksDetail3][2][ActionsTaken]</v>
      </c>
    </row>
    <row r="481" spans="1:15" x14ac:dyDescent="0.3">
      <c r="A481" t="s">
        <v>1793</v>
      </c>
      <c r="B481" t="s">
        <v>2054</v>
      </c>
      <c r="C481" t="s">
        <v>2055</v>
      </c>
      <c r="D481">
        <v>0</v>
      </c>
      <c r="E481" t="s">
        <v>1447</v>
      </c>
      <c r="F481" t="s">
        <v>2055</v>
      </c>
      <c r="G481" t="s">
        <v>1829</v>
      </c>
      <c r="H481" t="s">
        <v>1799</v>
      </c>
      <c r="I481" t="s">
        <v>1799</v>
      </c>
      <c r="J481" t="s">
        <v>1799</v>
      </c>
      <c r="K481" t="s">
        <v>1799</v>
      </c>
      <c r="L481" t="s">
        <v>1447</v>
      </c>
      <c r="M481" t="s">
        <v>1799</v>
      </c>
      <c r="N481" t="s">
        <v>1799</v>
      </c>
      <c r="O481" s="184" t="str">
        <f>"["&amp;$C481&amp;"]["&amp;$D481&amp;"]["&amp;$F481&amp;"]"</f>
        <v>[InstallationVisitsWaivedHighEmitters][0][InstallationVisitsWaivedHighEmitters]</v>
      </c>
    </row>
    <row r="482" spans="1:15" x14ac:dyDescent="0.3">
      <c r="A482" t="s">
        <v>1793</v>
      </c>
      <c r="B482" t="s">
        <v>2054</v>
      </c>
      <c r="C482" t="s">
        <v>2056</v>
      </c>
      <c r="D482">
        <v>0</v>
      </c>
      <c r="E482" t="s">
        <v>1447</v>
      </c>
      <c r="F482" t="s">
        <v>2056</v>
      </c>
      <c r="G482" t="s">
        <v>1829</v>
      </c>
      <c r="H482" t="s">
        <v>1799</v>
      </c>
      <c r="I482" t="s">
        <v>1799</v>
      </c>
      <c r="J482" t="s">
        <v>1799</v>
      </c>
      <c r="K482" t="s">
        <v>1799</v>
      </c>
      <c r="L482" t="s">
        <v>1447</v>
      </c>
      <c r="M482" t="s">
        <v>1799</v>
      </c>
      <c r="N482" t="s">
        <v>1799</v>
      </c>
      <c r="O482" s="184" t="str">
        <f>"["&amp;$C482&amp;"]["&amp;$D482&amp;"]["&amp;$F482&amp;"]"</f>
        <v>[InstallationsVisitsWaivedLowEmitters][0][InstallationsVisitsWaivedLowEmitters]</v>
      </c>
    </row>
    <row r="483" spans="1:15" x14ac:dyDescent="0.3">
      <c r="A483" t="s">
        <v>1793</v>
      </c>
      <c r="B483" t="s">
        <v>2057</v>
      </c>
      <c r="C483" t="s">
        <v>2058</v>
      </c>
      <c r="D483">
        <v>0</v>
      </c>
      <c r="E483" t="s">
        <v>1447</v>
      </c>
      <c r="F483" t="s">
        <v>2058</v>
      </c>
      <c r="G483" t="s">
        <v>1829</v>
      </c>
      <c r="H483" t="s">
        <v>1799</v>
      </c>
      <c r="I483" t="s">
        <v>1799</v>
      </c>
      <c r="J483" t="s">
        <v>1799</v>
      </c>
      <c r="K483" t="s">
        <v>1799</v>
      </c>
      <c r="L483" t="s">
        <v>1419</v>
      </c>
      <c r="M483" t="s">
        <v>1799</v>
      </c>
      <c r="N483" t="s">
        <v>1799</v>
      </c>
      <c r="O483" s="184" t="str">
        <f>"["&amp;$C483&amp;"]["&amp;$D483&amp;"]["&amp;$F483&amp;"]"</f>
        <v>[VirtualVisitsInstallations][0][VirtualVisitsInstallations]</v>
      </c>
    </row>
    <row r="484" spans="1:15" x14ac:dyDescent="0.3">
      <c r="A484" t="s">
        <v>1793</v>
      </c>
      <c r="B484" t="s">
        <v>2057</v>
      </c>
      <c r="C484" t="s">
        <v>2059</v>
      </c>
      <c r="D484">
        <v>1</v>
      </c>
      <c r="E484" t="s">
        <v>1447</v>
      </c>
      <c r="F484" t="s">
        <v>2060</v>
      </c>
      <c r="G484" t="s">
        <v>1797</v>
      </c>
      <c r="H484" t="s">
        <v>2061</v>
      </c>
      <c r="I484" t="s">
        <v>1799</v>
      </c>
      <c r="J484" t="s">
        <v>1799</v>
      </c>
      <c r="K484" t="s">
        <v>1799</v>
      </c>
      <c r="L484" t="s">
        <v>1799</v>
      </c>
      <c r="M484" t="s">
        <v>1799</v>
      </c>
      <c r="N484" t="s">
        <v>1799</v>
      </c>
      <c r="O484" s="184" t="str">
        <f>"["&amp;$C484&amp;"]["&amp;$D484&amp;"]["&amp;$F484&amp;"]"</f>
        <v>[S06_VirtualVisitsInstallationsDetails][1][TypeForceMajeur]</v>
      </c>
    </row>
    <row r="485" spans="1:15" x14ac:dyDescent="0.3">
      <c r="A485" t="s">
        <v>1793</v>
      </c>
      <c r="B485" t="s">
        <v>2057</v>
      </c>
      <c r="C485" t="s">
        <v>2059</v>
      </c>
      <c r="D485">
        <v>1</v>
      </c>
      <c r="E485" t="s">
        <v>1447</v>
      </c>
      <c r="F485" t="s">
        <v>2062</v>
      </c>
      <c r="G485" t="s">
        <v>1811</v>
      </c>
      <c r="H485" t="s">
        <v>1799</v>
      </c>
      <c r="I485">
        <v>4</v>
      </c>
      <c r="J485" t="s">
        <v>1799</v>
      </c>
      <c r="K485" t="s">
        <v>1799</v>
      </c>
      <c r="L485" t="s">
        <v>1799</v>
      </c>
      <c r="M485" t="s">
        <v>1799</v>
      </c>
      <c r="N485" t="s">
        <v>1799</v>
      </c>
      <c r="O485" s="184" t="str">
        <f>"["&amp;$C485&amp;"]["&amp;$D485&amp;"]["&amp;$F485&amp;"]"</f>
        <v>[S06_VirtualVisitsInstallationsDetails][1][NumberOfInstallationsVV]</v>
      </c>
    </row>
    <row r="486" spans="1:15" x14ac:dyDescent="0.3">
      <c r="A486" t="s">
        <v>1793</v>
      </c>
      <c r="B486" t="s">
        <v>2057</v>
      </c>
      <c r="C486" t="s">
        <v>2059</v>
      </c>
      <c r="D486">
        <v>1</v>
      </c>
      <c r="E486" t="s">
        <v>1447</v>
      </c>
      <c r="F486" t="s">
        <v>2063</v>
      </c>
      <c r="G486" t="s">
        <v>1737</v>
      </c>
      <c r="H486" t="s">
        <v>1799</v>
      </c>
      <c r="I486" t="s">
        <v>1799</v>
      </c>
      <c r="J486" t="s">
        <v>1799</v>
      </c>
      <c r="K486" t="s">
        <v>1799</v>
      </c>
      <c r="L486" t="s">
        <v>1442</v>
      </c>
      <c r="M486" t="s">
        <v>1799</v>
      </c>
      <c r="N486" t="s">
        <v>1799</v>
      </c>
      <c r="O486" s="184" t="str">
        <f>"["&amp;$C486&amp;"]["&amp;$D486&amp;"]["&amp;$F486&amp;"]"</f>
        <v>[S06_VirtualVisitsInstallationsDetails][1][AuthorityApproval]</v>
      </c>
    </row>
    <row r="487" spans="1:15" x14ac:dyDescent="0.3">
      <c r="A487" t="s">
        <v>1793</v>
      </c>
      <c r="B487" t="s">
        <v>2057</v>
      </c>
      <c r="C487" t="s">
        <v>2059</v>
      </c>
      <c r="D487">
        <v>1</v>
      </c>
      <c r="E487" t="s">
        <v>1447</v>
      </c>
      <c r="F487" t="s">
        <v>2064</v>
      </c>
      <c r="G487" t="s">
        <v>1797</v>
      </c>
      <c r="H487" t="s">
        <v>1419</v>
      </c>
      <c r="I487" t="s">
        <v>1799</v>
      </c>
      <c r="J487" t="s">
        <v>1799</v>
      </c>
      <c r="K487" t="s">
        <v>1799</v>
      </c>
      <c r="L487" t="s">
        <v>1799</v>
      </c>
      <c r="M487" t="s">
        <v>1799</v>
      </c>
      <c r="N487" t="s">
        <v>1799</v>
      </c>
      <c r="O487" s="184" t="str">
        <f>"["&amp;$C487&amp;"]["&amp;$D487&amp;"]["&amp;$F487&amp;"]"</f>
        <v>[S06_VirtualVisitsInstallationsDetails][1][ConfirmationConditionsMet]</v>
      </c>
    </row>
    <row r="488" spans="1:15" x14ac:dyDescent="0.3">
      <c r="A488" t="s">
        <v>1793</v>
      </c>
      <c r="B488" t="s">
        <v>2065</v>
      </c>
      <c r="C488" t="s">
        <v>2066</v>
      </c>
      <c r="D488">
        <v>1</v>
      </c>
      <c r="E488" t="s">
        <v>1447</v>
      </c>
      <c r="F488" t="s">
        <v>2034</v>
      </c>
      <c r="G488" t="s">
        <v>1811</v>
      </c>
      <c r="H488" t="s">
        <v>1799</v>
      </c>
      <c r="I488">
        <v>0</v>
      </c>
      <c r="J488" t="s">
        <v>1799</v>
      </c>
      <c r="K488" t="s">
        <v>1799</v>
      </c>
      <c r="L488" t="s">
        <v>1799</v>
      </c>
      <c r="M488" t="s">
        <v>1799</v>
      </c>
      <c r="N488" t="s">
        <v>1799</v>
      </c>
      <c r="O488" s="184" t="str">
        <f>"["&amp;$C488&amp;"]["&amp;$D488&amp;"]["&amp;$F488&amp;"]"</f>
        <v>[S06_NegativeOpinionAircraft][1][CountNegativeOpinions]</v>
      </c>
    </row>
    <row r="489" spans="1:15" x14ac:dyDescent="0.3">
      <c r="A489" t="s">
        <v>1793</v>
      </c>
      <c r="B489" t="s">
        <v>2065</v>
      </c>
      <c r="C489" t="s">
        <v>2066</v>
      </c>
      <c r="D489">
        <v>2</v>
      </c>
      <c r="E489" t="s">
        <v>1447</v>
      </c>
      <c r="F489" t="s">
        <v>2034</v>
      </c>
      <c r="G489" t="s">
        <v>1811</v>
      </c>
      <c r="H489" t="s">
        <v>1799</v>
      </c>
      <c r="I489">
        <v>0</v>
      </c>
      <c r="J489" t="s">
        <v>1799</v>
      </c>
      <c r="K489" t="s">
        <v>1799</v>
      </c>
      <c r="L489" t="s">
        <v>1799</v>
      </c>
      <c r="M489" t="s">
        <v>1799</v>
      </c>
      <c r="N489" t="s">
        <v>1799</v>
      </c>
      <c r="O489" s="184" t="str">
        <f>"["&amp;$C489&amp;"]["&amp;$D489&amp;"]["&amp;$F489&amp;"]"</f>
        <v>[S06_NegativeOpinionAircraft][2][CountNegativeOpinions]</v>
      </c>
    </row>
    <row r="490" spans="1:15" x14ac:dyDescent="0.3">
      <c r="A490" t="s">
        <v>1793</v>
      </c>
      <c r="B490" t="s">
        <v>2065</v>
      </c>
      <c r="C490" t="s">
        <v>2066</v>
      </c>
      <c r="D490">
        <v>3</v>
      </c>
      <c r="E490" t="s">
        <v>1447</v>
      </c>
      <c r="F490" t="s">
        <v>2034</v>
      </c>
      <c r="G490" t="s">
        <v>1811</v>
      </c>
      <c r="H490" t="s">
        <v>1799</v>
      </c>
      <c r="I490">
        <v>0</v>
      </c>
      <c r="J490" t="s">
        <v>1799</v>
      </c>
      <c r="K490" t="s">
        <v>1799</v>
      </c>
      <c r="L490" t="s">
        <v>1799</v>
      </c>
      <c r="M490" t="s">
        <v>1799</v>
      </c>
      <c r="N490" t="s">
        <v>1799</v>
      </c>
      <c r="O490" s="184" t="str">
        <f>"["&amp;$C490&amp;"]["&amp;$D490&amp;"]["&amp;$F490&amp;"]"</f>
        <v>[S06_NegativeOpinionAircraft][3][CountNegativeOpinions]</v>
      </c>
    </row>
    <row r="491" spans="1:15" x14ac:dyDescent="0.3">
      <c r="A491" t="s">
        <v>1793</v>
      </c>
      <c r="B491" t="s">
        <v>2065</v>
      </c>
      <c r="C491" t="s">
        <v>2066</v>
      </c>
      <c r="D491">
        <v>4</v>
      </c>
      <c r="E491" t="s">
        <v>1447</v>
      </c>
      <c r="F491" t="s">
        <v>2034</v>
      </c>
      <c r="G491" t="s">
        <v>1811</v>
      </c>
      <c r="H491" t="s">
        <v>1799</v>
      </c>
      <c r="I491">
        <v>0</v>
      </c>
      <c r="J491" t="s">
        <v>1799</v>
      </c>
      <c r="K491" t="s">
        <v>1799</v>
      </c>
      <c r="L491" t="s">
        <v>1799</v>
      </c>
      <c r="M491" t="s">
        <v>1799</v>
      </c>
      <c r="N491" t="s">
        <v>1799</v>
      </c>
      <c r="O491" s="184" t="str">
        <f>"["&amp;$C491&amp;"]["&amp;$D491&amp;"]["&amp;$F491&amp;"]"</f>
        <v>[S06_NegativeOpinionAircraft][4][CountNegativeOpinions]</v>
      </c>
    </row>
    <row r="492" spans="1:15" x14ac:dyDescent="0.3">
      <c r="A492" t="s">
        <v>1793</v>
      </c>
      <c r="B492" t="s">
        <v>2067</v>
      </c>
      <c r="C492" t="s">
        <v>2068</v>
      </c>
      <c r="D492">
        <v>0</v>
      </c>
      <c r="E492" t="s">
        <v>1447</v>
      </c>
      <c r="F492" t="s">
        <v>2068</v>
      </c>
      <c r="G492" t="s">
        <v>1829</v>
      </c>
      <c r="H492" t="s">
        <v>1799</v>
      </c>
      <c r="I492" t="s">
        <v>1799</v>
      </c>
      <c r="J492" t="s">
        <v>1799</v>
      </c>
      <c r="K492" t="s">
        <v>1799</v>
      </c>
      <c r="L492" t="s">
        <v>1419</v>
      </c>
      <c r="M492" t="s">
        <v>1799</v>
      </c>
      <c r="N492" t="s">
        <v>1799</v>
      </c>
      <c r="O492" s="184" t="str">
        <f>"["&amp;$C492&amp;"]["&amp;$D492&amp;"]["&amp;$F492&amp;"]"</f>
        <v>[AircraftOperatorsVerificationReportIssues][0][AircraftOperatorsVerificationReportIssues]</v>
      </c>
    </row>
    <row r="493" spans="1:15" x14ac:dyDescent="0.3">
      <c r="A493" t="s">
        <v>1793</v>
      </c>
      <c r="B493" t="s">
        <v>2067</v>
      </c>
      <c r="C493" t="s">
        <v>2069</v>
      </c>
      <c r="D493">
        <v>1</v>
      </c>
      <c r="E493" t="s">
        <v>1447</v>
      </c>
      <c r="F493" t="s">
        <v>2039</v>
      </c>
      <c r="G493" t="s">
        <v>1737</v>
      </c>
      <c r="H493" t="s">
        <v>1799</v>
      </c>
      <c r="I493" t="s">
        <v>1799</v>
      </c>
      <c r="J493" t="s">
        <v>1799</v>
      </c>
      <c r="K493" t="s">
        <v>1799</v>
      </c>
      <c r="L493" t="s">
        <v>1512</v>
      </c>
      <c r="M493" t="s">
        <v>1799</v>
      </c>
      <c r="N493" t="s">
        <v>1799</v>
      </c>
      <c r="O493" s="184" t="str">
        <f>"["&amp;$C493&amp;"]["&amp;$D493&amp;"]["&amp;$F493&amp;"]"</f>
        <v>[S06_AircraftOperatorsVerificationReportIssuesEmissions][1][TypeOfIssue]</v>
      </c>
    </row>
    <row r="494" spans="1:15" x14ac:dyDescent="0.3">
      <c r="A494" t="s">
        <v>1793</v>
      </c>
      <c r="B494" t="s">
        <v>2067</v>
      </c>
      <c r="C494" t="s">
        <v>2069</v>
      </c>
      <c r="D494">
        <v>1</v>
      </c>
      <c r="E494" t="s">
        <v>1447</v>
      </c>
      <c r="F494" t="s">
        <v>2070</v>
      </c>
      <c r="G494" t="s">
        <v>1811</v>
      </c>
      <c r="H494" t="s">
        <v>1799</v>
      </c>
      <c r="I494">
        <v>1</v>
      </c>
      <c r="J494" t="s">
        <v>1799</v>
      </c>
      <c r="K494" t="s">
        <v>1799</v>
      </c>
      <c r="L494" t="s">
        <v>1799</v>
      </c>
      <c r="M494" t="s">
        <v>1799</v>
      </c>
      <c r="N494" t="s">
        <v>1799</v>
      </c>
      <c r="O494" s="184" t="str">
        <f>"["&amp;$C494&amp;"]["&amp;$D494&amp;"]["&amp;$F494&amp;"]"</f>
        <v>[S06_AircraftOperatorsVerificationReportIssuesEmissions][1][NumberOfAircraftOperators]</v>
      </c>
    </row>
    <row r="495" spans="1:15" x14ac:dyDescent="0.3">
      <c r="A495" t="s">
        <v>1793</v>
      </c>
      <c r="B495" t="s">
        <v>2067</v>
      </c>
      <c r="C495" t="s">
        <v>2069</v>
      </c>
      <c r="D495">
        <v>1</v>
      </c>
      <c r="E495" t="s">
        <v>1447</v>
      </c>
      <c r="F495" t="s">
        <v>2029</v>
      </c>
      <c r="G495" t="s">
        <v>1811</v>
      </c>
      <c r="H495" t="s">
        <v>1799</v>
      </c>
      <c r="I495">
        <v>1</v>
      </c>
      <c r="J495" t="s">
        <v>1799</v>
      </c>
      <c r="K495" t="s">
        <v>1799</v>
      </c>
      <c r="L495" t="s">
        <v>1799</v>
      </c>
      <c r="M495" t="s">
        <v>1799</v>
      </c>
      <c r="N495" t="s">
        <v>1799</v>
      </c>
      <c r="O495" s="184" t="str">
        <f>"["&amp;$C495&amp;"]["&amp;$D495&amp;"]["&amp;$F495&amp;"]"</f>
        <v>[S06_AircraftOperatorsVerificationReportIssuesEmissions][1][NumberOfIssues]</v>
      </c>
    </row>
    <row r="496" spans="1:15" x14ac:dyDescent="0.3">
      <c r="A496" t="s">
        <v>1793</v>
      </c>
      <c r="B496" t="s">
        <v>2067</v>
      </c>
      <c r="C496" t="s">
        <v>2069</v>
      </c>
      <c r="D496">
        <v>1</v>
      </c>
      <c r="E496" t="s">
        <v>1447</v>
      </c>
      <c r="F496" t="s">
        <v>2040</v>
      </c>
      <c r="G496" t="s">
        <v>1913</v>
      </c>
      <c r="H496" t="s">
        <v>1799</v>
      </c>
      <c r="I496" t="s">
        <v>1799</v>
      </c>
      <c r="J496">
        <v>0</v>
      </c>
      <c r="K496" t="s">
        <v>1799</v>
      </c>
      <c r="L496" t="s">
        <v>1799</v>
      </c>
      <c r="M496" t="s">
        <v>1799</v>
      </c>
      <c r="N496" t="s">
        <v>1799</v>
      </c>
      <c r="O496" s="184" t="str">
        <f>"["&amp;$C496&amp;"]["&amp;$D496&amp;"]["&amp;$F496&amp;"]"</f>
        <v>[S06_AircraftOperatorsVerificationReportIssuesEmissions][1][ShareOfReportsConservativeEstimate]</v>
      </c>
    </row>
    <row r="497" spans="1:15" x14ac:dyDescent="0.3">
      <c r="A497" t="s">
        <v>1793</v>
      </c>
      <c r="B497" t="s">
        <v>2071</v>
      </c>
      <c r="C497" t="s">
        <v>2072</v>
      </c>
      <c r="D497">
        <v>0</v>
      </c>
      <c r="E497" t="s">
        <v>1447</v>
      </c>
      <c r="F497" t="s">
        <v>2072</v>
      </c>
      <c r="G497" t="s">
        <v>1829</v>
      </c>
      <c r="H497" t="s">
        <v>1799</v>
      </c>
      <c r="I497" t="s">
        <v>1799</v>
      </c>
      <c r="J497" t="s">
        <v>1799</v>
      </c>
      <c r="K497" t="s">
        <v>1799</v>
      </c>
      <c r="L497" t="s">
        <v>1419</v>
      </c>
      <c r="M497" t="s">
        <v>1799</v>
      </c>
      <c r="N497" t="s">
        <v>1799</v>
      </c>
      <c r="O497" s="184" t="str">
        <f>"["&amp;$C497&amp;"]["&amp;$D497&amp;"]["&amp;$F497&amp;"]"</f>
        <v>[AircraftOperatorsVerificationReportChecks][0][AircraftOperatorsVerificationReportChecks]</v>
      </c>
    </row>
    <row r="498" spans="1:15" x14ac:dyDescent="0.3">
      <c r="A498" t="s">
        <v>1793</v>
      </c>
      <c r="B498" t="s">
        <v>2071</v>
      </c>
      <c r="C498" t="s">
        <v>2073</v>
      </c>
      <c r="D498">
        <v>1</v>
      </c>
      <c r="E498" t="s">
        <v>1447</v>
      </c>
      <c r="F498" t="s">
        <v>2044</v>
      </c>
      <c r="G498" t="s">
        <v>1913</v>
      </c>
      <c r="H498" t="s">
        <v>1799</v>
      </c>
      <c r="I498" t="s">
        <v>1799</v>
      </c>
      <c r="J498">
        <v>1</v>
      </c>
      <c r="K498" t="s">
        <v>1799</v>
      </c>
      <c r="L498" t="s">
        <v>1799</v>
      </c>
      <c r="M498" t="s">
        <v>1799</v>
      </c>
      <c r="N498" t="s">
        <v>1799</v>
      </c>
      <c r="O498" s="184" t="str">
        <f>"["&amp;$C498&amp;"]["&amp;$D498&amp;"]["&amp;$F498&amp;"]"</f>
        <v>[S06_AircraftOperatorsVerificationEmissionReportChecks1][1][PercentageShare]</v>
      </c>
    </row>
    <row r="499" spans="1:15" x14ac:dyDescent="0.3">
      <c r="A499" t="s">
        <v>1793</v>
      </c>
      <c r="B499" t="s">
        <v>2071</v>
      </c>
      <c r="C499" t="s">
        <v>2073</v>
      </c>
      <c r="D499">
        <v>2</v>
      </c>
      <c r="E499" t="s">
        <v>1447</v>
      </c>
      <c r="F499" t="s">
        <v>2044</v>
      </c>
      <c r="G499" t="s">
        <v>1913</v>
      </c>
      <c r="H499" t="s">
        <v>1799</v>
      </c>
      <c r="I499" t="s">
        <v>1799</v>
      </c>
      <c r="J499">
        <v>1</v>
      </c>
      <c r="K499" t="s">
        <v>1799</v>
      </c>
      <c r="L499" t="s">
        <v>1799</v>
      </c>
      <c r="M499" t="s">
        <v>1799</v>
      </c>
      <c r="N499" t="s">
        <v>1799</v>
      </c>
      <c r="O499" s="184" t="str">
        <f>"["&amp;$C499&amp;"]["&amp;$D499&amp;"]["&amp;$F499&amp;"]"</f>
        <v>[S06_AircraftOperatorsVerificationEmissionReportChecks1][2][PercentageShare]</v>
      </c>
    </row>
    <row r="500" spans="1:15" x14ac:dyDescent="0.3">
      <c r="A500" t="s">
        <v>1793</v>
      </c>
      <c r="B500" t="s">
        <v>2071</v>
      </c>
      <c r="C500" t="s">
        <v>2073</v>
      </c>
      <c r="D500">
        <v>3</v>
      </c>
      <c r="E500" t="s">
        <v>1447</v>
      </c>
      <c r="F500" t="s">
        <v>2044</v>
      </c>
      <c r="G500" t="s">
        <v>1913</v>
      </c>
      <c r="H500" t="s">
        <v>1799</v>
      </c>
      <c r="I500" t="s">
        <v>1799</v>
      </c>
      <c r="J500">
        <v>1</v>
      </c>
      <c r="K500" t="s">
        <v>1799</v>
      </c>
      <c r="L500" t="s">
        <v>1799</v>
      </c>
      <c r="M500" t="s">
        <v>1799</v>
      </c>
      <c r="N500" t="s">
        <v>1799</v>
      </c>
      <c r="O500" s="184" t="str">
        <f>"["&amp;$C500&amp;"]["&amp;$D500&amp;"]["&amp;$F500&amp;"]"</f>
        <v>[S06_AircraftOperatorsVerificationEmissionReportChecks1][3][PercentageShare]</v>
      </c>
    </row>
    <row r="501" spans="1:15" x14ac:dyDescent="0.3">
      <c r="A501" t="s">
        <v>1793</v>
      </c>
      <c r="B501" t="s">
        <v>2071</v>
      </c>
      <c r="C501" t="s">
        <v>2073</v>
      </c>
      <c r="D501">
        <v>4</v>
      </c>
      <c r="E501" t="s">
        <v>1447</v>
      </c>
      <c r="F501" t="s">
        <v>2044</v>
      </c>
      <c r="G501" t="s">
        <v>1913</v>
      </c>
      <c r="H501" t="s">
        <v>1799</v>
      </c>
      <c r="I501" t="s">
        <v>1799</v>
      </c>
      <c r="J501">
        <v>1</v>
      </c>
      <c r="K501" t="s">
        <v>1799</v>
      </c>
      <c r="L501" t="s">
        <v>1799</v>
      </c>
      <c r="M501" t="s">
        <v>1799</v>
      </c>
      <c r="N501" t="s">
        <v>1799</v>
      </c>
      <c r="O501" s="184" t="str">
        <f>"["&amp;$C501&amp;"]["&amp;$D501&amp;"]["&amp;$F501&amp;"]"</f>
        <v>[S06_AircraftOperatorsVerificationEmissionReportChecks1][4][PercentageShare]</v>
      </c>
    </row>
    <row r="502" spans="1:15" x14ac:dyDescent="0.3">
      <c r="A502" t="s">
        <v>1793</v>
      </c>
      <c r="B502" t="s">
        <v>2071</v>
      </c>
      <c r="C502" t="s">
        <v>2073</v>
      </c>
      <c r="D502">
        <v>3</v>
      </c>
      <c r="E502" t="s">
        <v>1447</v>
      </c>
      <c r="F502" t="s">
        <v>2045</v>
      </c>
      <c r="G502" t="s">
        <v>1862</v>
      </c>
      <c r="H502" t="s">
        <v>1799</v>
      </c>
      <c r="I502" t="s">
        <v>1799</v>
      </c>
      <c r="J502" t="s">
        <v>1799</v>
      </c>
      <c r="K502" t="s">
        <v>2074</v>
      </c>
      <c r="L502" t="s">
        <v>1799</v>
      </c>
      <c r="M502" t="s">
        <v>1799</v>
      </c>
      <c r="N502" t="s">
        <v>1799</v>
      </c>
      <c r="O502" s="184" t="str">
        <f>"["&amp;$C502&amp;"]["&amp;$D502&amp;"]["&amp;$F502&amp;"]"</f>
        <v>[S06_AircraftOperatorsVerificationEmissionReportChecks1][3][FurtherInformation]</v>
      </c>
    </row>
    <row r="503" spans="1:15" x14ac:dyDescent="0.3">
      <c r="A503" t="s">
        <v>1793</v>
      </c>
      <c r="B503" t="s">
        <v>2071</v>
      </c>
      <c r="C503" t="s">
        <v>2073</v>
      </c>
      <c r="D503">
        <v>4</v>
      </c>
      <c r="E503" t="s">
        <v>1447</v>
      </c>
      <c r="F503" t="s">
        <v>2045</v>
      </c>
      <c r="G503" t="s">
        <v>1862</v>
      </c>
      <c r="H503" t="s">
        <v>1799</v>
      </c>
      <c r="I503" t="s">
        <v>1799</v>
      </c>
      <c r="J503" t="s">
        <v>1799</v>
      </c>
      <c r="K503" t="s">
        <v>2075</v>
      </c>
      <c r="L503" t="s">
        <v>1799</v>
      </c>
      <c r="M503" t="s">
        <v>1799</v>
      </c>
      <c r="N503" t="s">
        <v>1799</v>
      </c>
      <c r="O503" s="184" t="str">
        <f>"["&amp;$C503&amp;"]["&amp;$D503&amp;"]["&amp;$F503&amp;"]"</f>
        <v>[S06_AircraftOperatorsVerificationEmissionReportChecks1][4][FurtherInformation]</v>
      </c>
    </row>
    <row r="504" spans="1:15" x14ac:dyDescent="0.3">
      <c r="A504" t="s">
        <v>1793</v>
      </c>
      <c r="B504" t="s">
        <v>2071</v>
      </c>
      <c r="C504" t="s">
        <v>2073</v>
      </c>
      <c r="D504">
        <v>4</v>
      </c>
      <c r="E504" t="s">
        <v>1447</v>
      </c>
      <c r="F504" t="s">
        <v>2048</v>
      </c>
      <c r="G504" t="s">
        <v>1737</v>
      </c>
      <c r="H504" t="s">
        <v>1799</v>
      </c>
      <c r="I504" t="s">
        <v>1799</v>
      </c>
      <c r="J504" t="s">
        <v>1799</v>
      </c>
      <c r="K504" t="s">
        <v>1799</v>
      </c>
      <c r="L504" t="s">
        <v>1527</v>
      </c>
      <c r="M504" t="s">
        <v>1799</v>
      </c>
      <c r="N504" t="s">
        <v>1799</v>
      </c>
      <c r="O504" s="184" t="str">
        <f>"["&amp;$C504&amp;"]["&amp;$D504&amp;"]["&amp;$F504&amp;"]"</f>
        <v>[S06_AircraftOperatorsVerificationEmissionReportChecks1][4][SelectingCriteria]</v>
      </c>
    </row>
    <row r="505" spans="1:15" x14ac:dyDescent="0.3">
      <c r="A505" t="s">
        <v>1793</v>
      </c>
      <c r="B505" t="s">
        <v>2071</v>
      </c>
      <c r="C505" t="s">
        <v>2076</v>
      </c>
      <c r="D505">
        <v>1</v>
      </c>
      <c r="E505" t="s">
        <v>1447</v>
      </c>
      <c r="F505" t="s">
        <v>2050</v>
      </c>
      <c r="G505" t="s">
        <v>1811</v>
      </c>
      <c r="H505" t="s">
        <v>1799</v>
      </c>
      <c r="I505">
        <v>0</v>
      </c>
      <c r="J505" t="s">
        <v>1799</v>
      </c>
      <c r="K505" t="s">
        <v>1799</v>
      </c>
      <c r="L505" t="s">
        <v>1799</v>
      </c>
      <c r="M505" t="s">
        <v>1799</v>
      </c>
      <c r="N505" t="s">
        <v>1799</v>
      </c>
      <c r="O505" s="184" t="str">
        <f>"["&amp;$C505&amp;"]["&amp;$D505&amp;"]["&amp;$F505&amp;"]"</f>
        <v>[S06_AircraftOperatorsVerificationEmissionReportChecks2][1][NumberOfReports]</v>
      </c>
    </row>
    <row r="506" spans="1:15" x14ac:dyDescent="0.3">
      <c r="A506" t="s">
        <v>1793</v>
      </c>
      <c r="B506" t="s">
        <v>2071</v>
      </c>
      <c r="C506" t="s">
        <v>2076</v>
      </c>
      <c r="D506">
        <v>2</v>
      </c>
      <c r="E506" t="s">
        <v>1447</v>
      </c>
      <c r="F506" t="s">
        <v>2050</v>
      </c>
      <c r="G506" t="s">
        <v>1811</v>
      </c>
      <c r="H506" t="s">
        <v>1799</v>
      </c>
      <c r="I506">
        <v>0</v>
      </c>
      <c r="J506" t="s">
        <v>1799</v>
      </c>
      <c r="K506" t="s">
        <v>1799</v>
      </c>
      <c r="L506" t="s">
        <v>1799</v>
      </c>
      <c r="M506" t="s">
        <v>1799</v>
      </c>
      <c r="N506" t="s">
        <v>1799</v>
      </c>
      <c r="O506" s="184" t="str">
        <f>"["&amp;$C506&amp;"]["&amp;$D506&amp;"]["&amp;$F506&amp;"]"</f>
        <v>[S06_AircraftOperatorsVerificationEmissionReportChecks2][2][NumberOfReports]</v>
      </c>
    </row>
    <row r="507" spans="1:15" x14ac:dyDescent="0.3">
      <c r="A507" t="s">
        <v>1793</v>
      </c>
      <c r="B507" t="s">
        <v>2071</v>
      </c>
      <c r="C507" t="s">
        <v>2077</v>
      </c>
      <c r="D507">
        <v>1</v>
      </c>
      <c r="E507" t="s">
        <v>1447</v>
      </c>
      <c r="F507" t="s">
        <v>2052</v>
      </c>
      <c r="G507" t="s">
        <v>1797</v>
      </c>
      <c r="H507" t="s">
        <v>2053</v>
      </c>
      <c r="I507" t="s">
        <v>1799</v>
      </c>
      <c r="J507" t="s">
        <v>1799</v>
      </c>
      <c r="K507" t="s">
        <v>1799</v>
      </c>
      <c r="L507" t="s">
        <v>1799</v>
      </c>
      <c r="M507" t="s">
        <v>1799</v>
      </c>
      <c r="N507" t="s">
        <v>1799</v>
      </c>
      <c r="O507" s="184" t="str">
        <f>"["&amp;$C507&amp;"]["&amp;$D507&amp;"]["&amp;$F507&amp;"]"</f>
        <v>[S06_AircraftOperatorsVerificationEmissionReportChecks3][1][ActionsTaken]</v>
      </c>
    </row>
    <row r="508" spans="1:15" x14ac:dyDescent="0.3">
      <c r="A508" t="s">
        <v>1793</v>
      </c>
      <c r="B508" t="s">
        <v>2071</v>
      </c>
      <c r="C508" t="s">
        <v>2077</v>
      </c>
      <c r="D508">
        <v>2</v>
      </c>
      <c r="E508" t="s">
        <v>1419</v>
      </c>
      <c r="F508" t="s">
        <v>2052</v>
      </c>
      <c r="G508" t="s">
        <v>1862</v>
      </c>
      <c r="H508" t="s">
        <v>1799</v>
      </c>
      <c r="I508" t="s">
        <v>1799</v>
      </c>
      <c r="J508" t="s">
        <v>1799</v>
      </c>
      <c r="K508" t="s">
        <v>2053</v>
      </c>
      <c r="L508" t="s">
        <v>1799</v>
      </c>
      <c r="M508" t="s">
        <v>1799</v>
      </c>
      <c r="N508" t="s">
        <v>1799</v>
      </c>
      <c r="O508" s="184" t="str">
        <f>"["&amp;$C508&amp;"]["&amp;$D508&amp;"]["&amp;$F508&amp;"]"</f>
        <v>[S06_AircraftOperatorsVerificationEmissionReportChecks3][2][ActionsTaken]</v>
      </c>
    </row>
    <row r="509" spans="1:15" x14ac:dyDescent="0.3">
      <c r="A509" t="s">
        <v>1793</v>
      </c>
      <c r="B509" t="s">
        <v>2078</v>
      </c>
      <c r="C509" t="s">
        <v>2079</v>
      </c>
      <c r="D509">
        <v>0</v>
      </c>
      <c r="E509" t="s">
        <v>1447</v>
      </c>
      <c r="F509" t="s">
        <v>2079</v>
      </c>
      <c r="G509" t="s">
        <v>1829</v>
      </c>
      <c r="H509" t="s">
        <v>1799</v>
      </c>
      <c r="I509" t="s">
        <v>1799</v>
      </c>
      <c r="J509" t="s">
        <v>1799</v>
      </c>
      <c r="K509" t="s">
        <v>1799</v>
      </c>
      <c r="L509" t="s">
        <v>1447</v>
      </c>
      <c r="M509" t="s">
        <v>1799</v>
      </c>
      <c r="N509" t="s">
        <v>1799</v>
      </c>
      <c r="O509" s="184" t="str">
        <f>"["&amp;$C509&amp;"]["&amp;$D509&amp;"]["&amp;$F509&amp;"]"</f>
        <v>[AircraftOperatorsVisitsWaivedLowEmitters][0][AircraftOperatorsVisitsWaivedLowEmitters]</v>
      </c>
    </row>
    <row r="510" spans="1:15" x14ac:dyDescent="0.3">
      <c r="A510" t="s">
        <v>1793</v>
      </c>
      <c r="B510" t="s">
        <v>2080</v>
      </c>
      <c r="C510" t="s">
        <v>2081</v>
      </c>
      <c r="D510">
        <v>0</v>
      </c>
      <c r="E510" t="s">
        <v>1447</v>
      </c>
      <c r="F510" t="s">
        <v>2081</v>
      </c>
      <c r="G510" t="s">
        <v>1829</v>
      </c>
      <c r="H510" t="s">
        <v>1799</v>
      </c>
      <c r="I510" t="s">
        <v>1799</v>
      </c>
      <c r="J510" t="s">
        <v>1799</v>
      </c>
      <c r="K510" t="s">
        <v>1799</v>
      </c>
      <c r="L510" t="s">
        <v>1447</v>
      </c>
      <c r="M510" t="s">
        <v>1799</v>
      </c>
      <c r="N510" t="s">
        <v>1799</v>
      </c>
      <c r="O510" s="184" t="str">
        <f>"["&amp;$C510&amp;"]["&amp;$D510&amp;"]["&amp;$F510&amp;"]"</f>
        <v>[VirtualVisitsAircraft][0][VirtualVisitsAircraft]</v>
      </c>
    </row>
    <row r="511" spans="1:15" x14ac:dyDescent="0.3">
      <c r="A511" t="s">
        <v>1793</v>
      </c>
      <c r="B511" t="s">
        <v>2082</v>
      </c>
      <c r="C511" t="s">
        <v>2083</v>
      </c>
      <c r="D511">
        <v>0</v>
      </c>
      <c r="E511" t="s">
        <v>1447</v>
      </c>
      <c r="F511" t="s">
        <v>2083</v>
      </c>
      <c r="G511" t="s">
        <v>1811</v>
      </c>
      <c r="H511" t="s">
        <v>1799</v>
      </c>
      <c r="I511">
        <v>0</v>
      </c>
      <c r="J511" t="s">
        <v>1799</v>
      </c>
      <c r="K511" t="s">
        <v>1799</v>
      </c>
      <c r="L511" t="s">
        <v>1799</v>
      </c>
      <c r="M511" t="s">
        <v>1799</v>
      </c>
      <c r="N511" t="s">
        <v>1799</v>
      </c>
      <c r="O511" s="184" t="str">
        <f>"["&amp;$C511&amp;"]["&amp;$D511&amp;"]["&amp;$F511&amp;"]"</f>
        <v>[AircraftOperatorsMandateArt15UseNumber][0][AircraftOperatorsMandateArt15UseNumber]</v>
      </c>
    </row>
    <row r="512" spans="1:15" x14ac:dyDescent="0.3">
      <c r="A512" t="s">
        <v>1793</v>
      </c>
      <c r="B512" t="s">
        <v>2084</v>
      </c>
      <c r="C512" t="s">
        <v>2085</v>
      </c>
      <c r="D512">
        <v>0</v>
      </c>
      <c r="E512" t="s">
        <v>1447</v>
      </c>
      <c r="F512" t="s">
        <v>2085</v>
      </c>
      <c r="G512" t="s">
        <v>1829</v>
      </c>
      <c r="H512" t="s">
        <v>1799</v>
      </c>
      <c r="I512" t="s">
        <v>1799</v>
      </c>
      <c r="J512" t="s">
        <v>1799</v>
      </c>
      <c r="K512" t="s">
        <v>1799</v>
      </c>
      <c r="L512" t="s">
        <v>1419</v>
      </c>
      <c r="M512" t="s">
        <v>1799</v>
      </c>
      <c r="N512" t="s">
        <v>1799</v>
      </c>
      <c r="O512" s="184" t="str">
        <f>"["&amp;$C512&amp;"]["&amp;$D512&amp;"]["&amp;$F512&amp;"]"</f>
        <v>[CommissionTemplatesAllocation][0][CommissionTemplatesAllocation]</v>
      </c>
    </row>
    <row r="513" spans="1:15" x14ac:dyDescent="0.3">
      <c r="A513" t="s">
        <v>1793</v>
      </c>
      <c r="B513" t="s">
        <v>2086</v>
      </c>
      <c r="C513" t="s">
        <v>2087</v>
      </c>
      <c r="D513">
        <v>0</v>
      </c>
      <c r="E513" t="s">
        <v>1447</v>
      </c>
      <c r="F513" t="s">
        <v>2087</v>
      </c>
      <c r="G513" t="s">
        <v>1829</v>
      </c>
      <c r="H513" t="s">
        <v>1799</v>
      </c>
      <c r="I513" t="s">
        <v>1799</v>
      </c>
      <c r="J513" t="s">
        <v>1799</v>
      </c>
      <c r="K513" t="s">
        <v>1799</v>
      </c>
      <c r="L513" t="s">
        <v>1447</v>
      </c>
      <c r="M513" t="s">
        <v>1799</v>
      </c>
      <c r="N513" t="s">
        <v>1799</v>
      </c>
      <c r="O513" s="184" t="str">
        <f>"["&amp;$C513&amp;"]["&amp;$D513&amp;"]["&amp;$F513&amp;"]"</f>
        <v>[FeesAllocation][0][FeesAllocation]</v>
      </c>
    </row>
    <row r="514" spans="1:15" x14ac:dyDescent="0.3">
      <c r="A514" t="s">
        <v>1793</v>
      </c>
      <c r="B514" t="s">
        <v>2088</v>
      </c>
      <c r="C514" t="s">
        <v>2089</v>
      </c>
      <c r="D514">
        <v>0</v>
      </c>
      <c r="E514" t="s">
        <v>1447</v>
      </c>
      <c r="F514" t="s">
        <v>2089</v>
      </c>
      <c r="G514" t="s">
        <v>1829</v>
      </c>
      <c r="H514" t="s">
        <v>1799</v>
      </c>
      <c r="I514" t="s">
        <v>1799</v>
      </c>
      <c r="J514" t="s">
        <v>1799</v>
      </c>
      <c r="K514" t="s">
        <v>1799</v>
      </c>
      <c r="L514" t="s">
        <v>1447</v>
      </c>
      <c r="M514" t="s">
        <v>1799</v>
      </c>
      <c r="N514" t="s">
        <v>1799</v>
      </c>
      <c r="O514" s="184" t="str">
        <f>"["&amp;$C514&amp;"]["&amp;$D514&amp;"]["&amp;$F514&amp;"]"</f>
        <v>[ITforAllocationData][0][ITforAllocationData]</v>
      </c>
    </row>
    <row r="515" spans="1:15" x14ac:dyDescent="0.3">
      <c r="A515" t="s">
        <v>1793</v>
      </c>
      <c r="B515" t="s">
        <v>2090</v>
      </c>
      <c r="C515" t="s">
        <v>2091</v>
      </c>
      <c r="D515">
        <v>1</v>
      </c>
      <c r="E515" t="s">
        <v>1447</v>
      </c>
      <c r="F515" t="s">
        <v>1872</v>
      </c>
      <c r="G515" t="s">
        <v>1811</v>
      </c>
      <c r="H515" t="s">
        <v>1799</v>
      </c>
      <c r="I515">
        <v>0</v>
      </c>
      <c r="J515" t="s">
        <v>1799</v>
      </c>
      <c r="K515" t="s">
        <v>1799</v>
      </c>
      <c r="L515" t="s">
        <v>1799</v>
      </c>
      <c r="M515" t="s">
        <v>1799</v>
      </c>
      <c r="N515" t="s">
        <v>1799</v>
      </c>
      <c r="O515" s="184" t="str">
        <f>"["&amp;$C515&amp;"]["&amp;$D515&amp;"]["&amp;$F515&amp;"]"</f>
        <v>[S08_RenunciationSuspensionAllowances][1][NumberOfInstallations]</v>
      </c>
    </row>
    <row r="516" spans="1:15" x14ac:dyDescent="0.3">
      <c r="A516" t="s">
        <v>1793</v>
      </c>
      <c r="B516" t="s">
        <v>2090</v>
      </c>
      <c r="C516" t="s">
        <v>2091</v>
      </c>
      <c r="D516">
        <v>2</v>
      </c>
      <c r="E516" t="s">
        <v>1447</v>
      </c>
      <c r="F516" t="s">
        <v>1872</v>
      </c>
      <c r="G516" t="s">
        <v>1811</v>
      </c>
      <c r="H516" t="s">
        <v>1799</v>
      </c>
      <c r="I516">
        <v>0</v>
      </c>
      <c r="J516" t="s">
        <v>1799</v>
      </c>
      <c r="K516" t="s">
        <v>1799</v>
      </c>
      <c r="L516" t="s">
        <v>1799</v>
      </c>
      <c r="M516" t="s">
        <v>1799</v>
      </c>
      <c r="N516" t="s">
        <v>1799</v>
      </c>
      <c r="O516" s="184" t="str">
        <f>"["&amp;$C516&amp;"]["&amp;$D516&amp;"]["&amp;$F516&amp;"]"</f>
        <v>[S08_RenunciationSuspensionAllowances][2][NumberOfInstallations]</v>
      </c>
    </row>
    <row r="517" spans="1:15" x14ac:dyDescent="0.3">
      <c r="A517" t="s">
        <v>1793</v>
      </c>
      <c r="B517" t="s">
        <v>2090</v>
      </c>
      <c r="C517" t="s">
        <v>2091</v>
      </c>
      <c r="D517">
        <v>3</v>
      </c>
      <c r="E517" t="s">
        <v>1447</v>
      </c>
      <c r="F517" t="s">
        <v>1872</v>
      </c>
      <c r="G517" t="s">
        <v>1811</v>
      </c>
      <c r="H517" t="s">
        <v>1799</v>
      </c>
      <c r="I517">
        <v>9</v>
      </c>
      <c r="J517" t="s">
        <v>1799</v>
      </c>
      <c r="K517" t="s">
        <v>1799</v>
      </c>
      <c r="L517" t="s">
        <v>1799</v>
      </c>
      <c r="M517" t="s">
        <v>1799</v>
      </c>
      <c r="N517" t="s">
        <v>1799</v>
      </c>
      <c r="O517" s="184" t="str">
        <f>"["&amp;$C517&amp;"]["&amp;$D517&amp;"]["&amp;$F517&amp;"]"</f>
        <v>[S08_RenunciationSuspensionAllowances][3][NumberOfInstallations]</v>
      </c>
    </row>
    <row r="518" spans="1:15" x14ac:dyDescent="0.3">
      <c r="A518" t="s">
        <v>1793</v>
      </c>
      <c r="B518" t="s">
        <v>2092</v>
      </c>
      <c r="C518" t="s">
        <v>2093</v>
      </c>
      <c r="D518">
        <v>0</v>
      </c>
      <c r="E518" t="s">
        <v>1447</v>
      </c>
      <c r="F518" t="s">
        <v>2093</v>
      </c>
      <c r="G518" t="s">
        <v>1829</v>
      </c>
      <c r="H518" t="s">
        <v>1799</v>
      </c>
      <c r="I518" t="s">
        <v>1799</v>
      </c>
      <c r="J518" t="s">
        <v>1799</v>
      </c>
      <c r="K518" t="s">
        <v>1799</v>
      </c>
      <c r="L518" t="s">
        <v>1447</v>
      </c>
      <c r="M518" t="s">
        <v>1799</v>
      </c>
      <c r="N518" t="s">
        <v>1799</v>
      </c>
      <c r="O518" s="184" t="str">
        <f>"["&amp;$C518&amp;"]["&amp;$D518&amp;"]["&amp;$F518&amp;"]"</f>
        <v>[SubInstallationBenchmark61][0][SubInstallationBenchmark61]</v>
      </c>
    </row>
    <row r="519" spans="1:15" x14ac:dyDescent="0.3">
      <c r="A519" t="s">
        <v>1793</v>
      </c>
      <c r="B519" t="s">
        <v>2092</v>
      </c>
      <c r="C519" t="s">
        <v>2094</v>
      </c>
      <c r="D519">
        <v>0</v>
      </c>
      <c r="E519" t="s">
        <v>1447</v>
      </c>
      <c r="F519" t="s">
        <v>2094</v>
      </c>
      <c r="G519" t="s">
        <v>1829</v>
      </c>
      <c r="H519" t="s">
        <v>1799</v>
      </c>
      <c r="I519" t="s">
        <v>1799</v>
      </c>
      <c r="J519" t="s">
        <v>1799</v>
      </c>
      <c r="K519" t="s">
        <v>1799</v>
      </c>
      <c r="L519" t="s">
        <v>1447</v>
      </c>
      <c r="M519" t="s">
        <v>1799</v>
      </c>
      <c r="N519" t="s">
        <v>1799</v>
      </c>
      <c r="O519" s="184" t="str">
        <f>"["&amp;$C519&amp;"]["&amp;$D519&amp;"]["&amp;$F519&amp;"]"</f>
        <v>[SubInstallationBenchmark61Reject][0][SubInstallationBenchmark61Reject]</v>
      </c>
    </row>
    <row r="520" spans="1:15" x14ac:dyDescent="0.3">
      <c r="A520" t="s">
        <v>1793</v>
      </c>
      <c r="B520" t="s">
        <v>2092</v>
      </c>
      <c r="C520" t="s">
        <v>2095</v>
      </c>
      <c r="D520">
        <v>0</v>
      </c>
      <c r="E520" t="s">
        <v>1447</v>
      </c>
      <c r="F520" t="s">
        <v>2095</v>
      </c>
      <c r="G520" t="s">
        <v>1829</v>
      </c>
      <c r="H520" t="s">
        <v>1799</v>
      </c>
      <c r="I520" t="s">
        <v>1799</v>
      </c>
      <c r="J520" t="s">
        <v>1799</v>
      </c>
      <c r="K520" t="s">
        <v>1799</v>
      </c>
      <c r="L520" t="s">
        <v>1447</v>
      </c>
      <c r="M520" t="s">
        <v>1799</v>
      </c>
      <c r="N520" t="s">
        <v>1799</v>
      </c>
      <c r="O520" s="184" t="str">
        <f>"["&amp;$C520&amp;"]["&amp;$D520&amp;"]["&amp;$F520&amp;"]"</f>
        <v>[SubInstallationBenchmark62][0][SubInstallationBenchmark62]</v>
      </c>
    </row>
    <row r="521" spans="1:15" x14ac:dyDescent="0.3">
      <c r="A521" t="s">
        <v>1793</v>
      </c>
      <c r="B521" t="s">
        <v>2096</v>
      </c>
      <c r="C521" t="s">
        <v>2097</v>
      </c>
      <c r="D521">
        <v>1</v>
      </c>
      <c r="E521" t="s">
        <v>1447</v>
      </c>
      <c r="F521" t="s">
        <v>1872</v>
      </c>
      <c r="G521" t="s">
        <v>1811</v>
      </c>
      <c r="H521" t="s">
        <v>1799</v>
      </c>
      <c r="I521">
        <v>0</v>
      </c>
      <c r="J521" t="s">
        <v>1799</v>
      </c>
      <c r="K521" t="s">
        <v>1799</v>
      </c>
      <c r="L521" t="s">
        <v>1799</v>
      </c>
      <c r="M521" t="s">
        <v>1799</v>
      </c>
      <c r="N521" t="s">
        <v>1799</v>
      </c>
      <c r="O521" s="184" t="str">
        <f>"["&amp;$C521&amp;"]["&amp;$D521&amp;"]["&amp;$F521&amp;"]"</f>
        <v>[S08_ScopeExclusion][1][NumberOfInstallations]</v>
      </c>
    </row>
    <row r="522" spans="1:15" x14ac:dyDescent="0.3">
      <c r="A522" t="s">
        <v>1793</v>
      </c>
      <c r="B522" t="s">
        <v>2096</v>
      </c>
      <c r="C522" t="s">
        <v>2097</v>
      </c>
      <c r="D522">
        <v>2</v>
      </c>
      <c r="E522" t="s">
        <v>1447</v>
      </c>
      <c r="F522" t="s">
        <v>1872</v>
      </c>
      <c r="G522" t="s">
        <v>1811</v>
      </c>
      <c r="H522" t="s">
        <v>1799</v>
      </c>
      <c r="I522">
        <v>1</v>
      </c>
      <c r="J522" t="s">
        <v>1799</v>
      </c>
      <c r="K522" t="s">
        <v>1799</v>
      </c>
      <c r="L522" t="s">
        <v>1799</v>
      </c>
      <c r="M522" t="s">
        <v>1799</v>
      </c>
      <c r="N522" t="s">
        <v>1799</v>
      </c>
      <c r="O522" s="184" t="str">
        <f>"["&amp;$C522&amp;"]["&amp;$D522&amp;"]["&amp;$F522&amp;"]"</f>
        <v>[S08_ScopeExclusion][2][NumberOfInstallations]</v>
      </c>
    </row>
    <row r="523" spans="1:15" x14ac:dyDescent="0.3">
      <c r="A523" t="s">
        <v>1793</v>
      </c>
      <c r="B523" t="s">
        <v>2096</v>
      </c>
      <c r="C523" t="s">
        <v>2097</v>
      </c>
      <c r="D523">
        <v>3</v>
      </c>
      <c r="E523" t="s">
        <v>1447</v>
      </c>
      <c r="F523" t="s">
        <v>1872</v>
      </c>
      <c r="G523" t="s">
        <v>1811</v>
      </c>
      <c r="H523" t="s">
        <v>1799</v>
      </c>
      <c r="I523">
        <v>0</v>
      </c>
      <c r="J523" t="s">
        <v>1799</v>
      </c>
      <c r="K523" t="s">
        <v>1799</v>
      </c>
      <c r="L523" t="s">
        <v>1799</v>
      </c>
      <c r="M523" t="s">
        <v>1799</v>
      </c>
      <c r="N523" t="s">
        <v>1799</v>
      </c>
      <c r="O523" s="184" t="str">
        <f>"["&amp;$C523&amp;"]["&amp;$D523&amp;"]["&amp;$F523&amp;"]"</f>
        <v>[S08_ScopeExclusion][3][NumberOfInstallations]</v>
      </c>
    </row>
    <row r="524" spans="1:15" x14ac:dyDescent="0.3">
      <c r="A524" t="s">
        <v>1793</v>
      </c>
      <c r="B524" t="s">
        <v>2096</v>
      </c>
      <c r="C524" t="s">
        <v>2097</v>
      </c>
      <c r="D524">
        <v>4</v>
      </c>
      <c r="E524" t="s">
        <v>1447</v>
      </c>
      <c r="F524" t="s">
        <v>1872</v>
      </c>
      <c r="G524" t="s">
        <v>1811</v>
      </c>
      <c r="H524" t="s">
        <v>1799</v>
      </c>
      <c r="I524">
        <v>0</v>
      </c>
      <c r="J524" t="s">
        <v>1799</v>
      </c>
      <c r="K524" t="s">
        <v>1799</v>
      </c>
      <c r="L524" t="s">
        <v>1799</v>
      </c>
      <c r="M524" t="s">
        <v>1799</v>
      </c>
      <c r="N524" t="s">
        <v>1799</v>
      </c>
      <c r="O524" s="184" t="str">
        <f>"["&amp;$C524&amp;"]["&amp;$D524&amp;"]["&amp;$F524&amp;"]"</f>
        <v>[S08_ScopeExclusion][4][NumberOfInstallations]</v>
      </c>
    </row>
    <row r="525" spans="1:15" x14ac:dyDescent="0.3">
      <c r="A525" t="s">
        <v>1793</v>
      </c>
      <c r="B525" t="s">
        <v>2096</v>
      </c>
      <c r="C525" t="s">
        <v>2097</v>
      </c>
      <c r="D525">
        <v>5</v>
      </c>
      <c r="E525" t="s">
        <v>1447</v>
      </c>
      <c r="F525" t="s">
        <v>1872</v>
      </c>
      <c r="G525" t="s">
        <v>1811</v>
      </c>
      <c r="H525" t="s">
        <v>1799</v>
      </c>
      <c r="I525">
        <v>0</v>
      </c>
      <c r="J525" t="s">
        <v>1799</v>
      </c>
      <c r="K525" t="s">
        <v>1799</v>
      </c>
      <c r="L525" t="s">
        <v>1799</v>
      </c>
      <c r="M525" t="s">
        <v>1799</v>
      </c>
      <c r="N525" t="s">
        <v>1799</v>
      </c>
      <c r="O525" s="184" t="str">
        <f>"["&amp;$C525&amp;"]["&amp;$D525&amp;"]["&amp;$F525&amp;"]"</f>
        <v>[S08_ScopeExclusion][5][NumberOfInstallations]</v>
      </c>
    </row>
    <row r="526" spans="1:15" x14ac:dyDescent="0.3">
      <c r="A526" t="s">
        <v>1793</v>
      </c>
      <c r="B526" t="s">
        <v>2098</v>
      </c>
      <c r="C526" t="s">
        <v>2099</v>
      </c>
      <c r="D526">
        <v>0</v>
      </c>
      <c r="E526" t="s">
        <v>1447</v>
      </c>
      <c r="F526" t="s">
        <v>2099</v>
      </c>
      <c r="G526" t="s">
        <v>1829</v>
      </c>
      <c r="H526" t="s">
        <v>1799</v>
      </c>
      <c r="I526" t="s">
        <v>1799</v>
      </c>
      <c r="J526" t="s">
        <v>1799</v>
      </c>
      <c r="K526" t="s">
        <v>1799</v>
      </c>
      <c r="L526" t="s">
        <v>1447</v>
      </c>
      <c r="M526" t="s">
        <v>1799</v>
      </c>
      <c r="N526" t="s">
        <v>1799</v>
      </c>
      <c r="O526" s="184" t="str">
        <f>"["&amp;$C526&amp;"]["&amp;$D526&amp;"]["&amp;$F526&amp;"]"</f>
        <v>[Article10cApplied][0][Article10cApplied]</v>
      </c>
    </row>
    <row r="527" spans="1:15" x14ac:dyDescent="0.3">
      <c r="A527" t="s">
        <v>1793</v>
      </c>
      <c r="B527" t="s">
        <v>2100</v>
      </c>
      <c r="C527" t="s">
        <v>2101</v>
      </c>
      <c r="D527">
        <v>0</v>
      </c>
      <c r="E527" t="s">
        <v>1447</v>
      </c>
      <c r="F527" t="s">
        <v>2101</v>
      </c>
      <c r="G527" t="s">
        <v>1829</v>
      </c>
      <c r="H527" t="s">
        <v>1799</v>
      </c>
      <c r="I527" t="s">
        <v>1799</v>
      </c>
      <c r="J527" t="s">
        <v>1799</v>
      </c>
      <c r="K527" t="s">
        <v>1799</v>
      </c>
      <c r="L527" t="s">
        <v>1447</v>
      </c>
      <c r="M527" t="s">
        <v>1799</v>
      </c>
      <c r="N527" t="s">
        <v>1799</v>
      </c>
      <c r="O527" s="184" t="str">
        <f>"["&amp;$C527&amp;"]["&amp;$D527&amp;"]["&amp;$F527&amp;"]"</f>
        <v>[AdditionalParametersRequired][0][AdditionalParametersRequired]</v>
      </c>
    </row>
    <row r="528" spans="1:15" x14ac:dyDescent="0.3">
      <c r="A528" t="s">
        <v>1793</v>
      </c>
      <c r="B528" t="s">
        <v>2102</v>
      </c>
      <c r="C528" t="s">
        <v>2103</v>
      </c>
      <c r="D528">
        <v>0</v>
      </c>
      <c r="E528" t="s">
        <v>1447</v>
      </c>
      <c r="F528" t="s">
        <v>2103</v>
      </c>
      <c r="G528" t="s">
        <v>1829</v>
      </c>
      <c r="H528" t="s">
        <v>1799</v>
      </c>
      <c r="I528" t="s">
        <v>1799</v>
      </c>
      <c r="J528" t="s">
        <v>1799</v>
      </c>
      <c r="K528" t="s">
        <v>1799</v>
      </c>
      <c r="L528" t="s">
        <v>1447</v>
      </c>
      <c r="M528" t="s">
        <v>1799</v>
      </c>
      <c r="N528" t="s">
        <v>1799</v>
      </c>
      <c r="O528" s="184" t="str">
        <f>"["&amp;$C528&amp;"]["&amp;$D528&amp;"]["&amp;$F528&amp;"]"</f>
        <v>[PreliminaryActivityRequired][0][PreliminaryActivityRequired]</v>
      </c>
    </row>
    <row r="529" spans="1:15" x14ac:dyDescent="0.3">
      <c r="A529" t="s">
        <v>1793</v>
      </c>
      <c r="B529" t="s">
        <v>2104</v>
      </c>
      <c r="C529" t="s">
        <v>2105</v>
      </c>
      <c r="D529">
        <v>1</v>
      </c>
      <c r="E529" t="s">
        <v>1447</v>
      </c>
      <c r="F529" t="s">
        <v>1872</v>
      </c>
      <c r="G529" t="s">
        <v>1811</v>
      </c>
      <c r="H529" t="s">
        <v>1799</v>
      </c>
      <c r="I529">
        <v>0</v>
      </c>
      <c r="J529" t="s">
        <v>1799</v>
      </c>
      <c r="K529" t="s">
        <v>1799</v>
      </c>
      <c r="L529" t="s">
        <v>1799</v>
      </c>
      <c r="M529" t="s">
        <v>1799</v>
      </c>
      <c r="N529" t="s">
        <v>1799</v>
      </c>
      <c r="O529" s="184" t="str">
        <f>"["&amp;$C529&amp;"]["&amp;$D529&amp;"]["&amp;$F529&amp;"]"</f>
        <v>[S08_NegativeOpinionActivityData][1][NumberOfInstallations]</v>
      </c>
    </row>
    <row r="530" spans="1:15" x14ac:dyDescent="0.3">
      <c r="A530" t="s">
        <v>1793</v>
      </c>
      <c r="B530" t="s">
        <v>2104</v>
      </c>
      <c r="C530" t="s">
        <v>2105</v>
      </c>
      <c r="D530">
        <v>2</v>
      </c>
      <c r="E530" t="s">
        <v>1447</v>
      </c>
      <c r="F530" t="s">
        <v>1872</v>
      </c>
      <c r="G530" t="s">
        <v>1811</v>
      </c>
      <c r="H530" t="s">
        <v>1799</v>
      </c>
      <c r="I530">
        <v>0</v>
      </c>
      <c r="J530" t="s">
        <v>1799</v>
      </c>
      <c r="K530" t="s">
        <v>1799</v>
      </c>
      <c r="L530" t="s">
        <v>1799</v>
      </c>
      <c r="M530" t="s">
        <v>1799</v>
      </c>
      <c r="N530" t="s">
        <v>1799</v>
      </c>
      <c r="O530" s="184" t="str">
        <f>"["&amp;$C530&amp;"]["&amp;$D530&amp;"]["&amp;$F530&amp;"]"</f>
        <v>[S08_NegativeOpinionActivityData][2][NumberOfInstallations]</v>
      </c>
    </row>
    <row r="531" spans="1:15" x14ac:dyDescent="0.3">
      <c r="A531" t="s">
        <v>1793</v>
      </c>
      <c r="B531" t="s">
        <v>2104</v>
      </c>
      <c r="C531" t="s">
        <v>2105</v>
      </c>
      <c r="D531">
        <v>3</v>
      </c>
      <c r="E531" t="s">
        <v>1447</v>
      </c>
      <c r="F531" t="s">
        <v>1872</v>
      </c>
      <c r="G531" t="s">
        <v>1811</v>
      </c>
      <c r="H531" t="s">
        <v>1799</v>
      </c>
      <c r="I531">
        <v>0</v>
      </c>
      <c r="J531" t="s">
        <v>1799</v>
      </c>
      <c r="K531" t="s">
        <v>1799</v>
      </c>
      <c r="L531" t="s">
        <v>1799</v>
      </c>
      <c r="M531" t="s">
        <v>1799</v>
      </c>
      <c r="N531" t="s">
        <v>1799</v>
      </c>
      <c r="O531" s="184" t="str">
        <f>"["&amp;$C531&amp;"]["&amp;$D531&amp;"]["&amp;$F531&amp;"]"</f>
        <v>[S08_NegativeOpinionActivityData][3][NumberOfInstallations]</v>
      </c>
    </row>
    <row r="532" spans="1:15" x14ac:dyDescent="0.3">
      <c r="A532" t="s">
        <v>1793</v>
      </c>
      <c r="B532" t="s">
        <v>2104</v>
      </c>
      <c r="C532" t="s">
        <v>2105</v>
      </c>
      <c r="D532">
        <v>4</v>
      </c>
      <c r="E532" t="s">
        <v>1447</v>
      </c>
      <c r="F532" t="s">
        <v>1872</v>
      </c>
      <c r="G532" t="s">
        <v>1811</v>
      </c>
      <c r="H532" t="s">
        <v>1799</v>
      </c>
      <c r="I532">
        <v>0</v>
      </c>
      <c r="J532" t="s">
        <v>1799</v>
      </c>
      <c r="K532" t="s">
        <v>1799</v>
      </c>
      <c r="L532" t="s">
        <v>1799</v>
      </c>
      <c r="M532" t="s">
        <v>1799</v>
      </c>
      <c r="N532" t="s">
        <v>1799</v>
      </c>
      <c r="O532" s="184" t="str">
        <f>"["&amp;$C532&amp;"]["&amp;$D532&amp;"]["&amp;$F532&amp;"]"</f>
        <v>[S08_NegativeOpinionActivityData][4][NumberOfInstallations]</v>
      </c>
    </row>
    <row r="533" spans="1:15" x14ac:dyDescent="0.3">
      <c r="A533" t="s">
        <v>1793</v>
      </c>
      <c r="B533" t="s">
        <v>2104</v>
      </c>
      <c r="C533" t="s">
        <v>2105</v>
      </c>
      <c r="D533">
        <v>1</v>
      </c>
      <c r="E533" t="s">
        <v>1447</v>
      </c>
      <c r="F533" t="s">
        <v>2106</v>
      </c>
      <c r="G533" t="s">
        <v>1811</v>
      </c>
      <c r="H533" t="s">
        <v>1799</v>
      </c>
      <c r="I533">
        <v>0</v>
      </c>
      <c r="J533" t="s">
        <v>1799</v>
      </c>
      <c r="K533" t="s">
        <v>1799</v>
      </c>
      <c r="L533" t="s">
        <v>1799</v>
      </c>
      <c r="M533" t="s">
        <v>1799</v>
      </c>
      <c r="N533" t="s">
        <v>1799</v>
      </c>
      <c r="O533" s="184" t="str">
        <f>"["&amp;$C533&amp;"]["&amp;$D533&amp;"]["&amp;$F533&amp;"]"</f>
        <v>[S08_NegativeOpinionActivityData][1][NumberOfInstallationsConEst]</v>
      </c>
    </row>
    <row r="534" spans="1:15" x14ac:dyDescent="0.3">
      <c r="A534" t="s">
        <v>1793</v>
      </c>
      <c r="B534" t="s">
        <v>2104</v>
      </c>
      <c r="C534" t="s">
        <v>2105</v>
      </c>
      <c r="D534">
        <v>2</v>
      </c>
      <c r="E534" t="s">
        <v>1447</v>
      </c>
      <c r="F534" t="s">
        <v>2106</v>
      </c>
      <c r="G534" t="s">
        <v>1811</v>
      </c>
      <c r="H534" t="s">
        <v>1799</v>
      </c>
      <c r="I534">
        <v>0</v>
      </c>
      <c r="J534" t="s">
        <v>1799</v>
      </c>
      <c r="K534" t="s">
        <v>1799</v>
      </c>
      <c r="L534" t="s">
        <v>1799</v>
      </c>
      <c r="M534" t="s">
        <v>1799</v>
      </c>
      <c r="N534" t="s">
        <v>1799</v>
      </c>
      <c r="O534" s="184" t="str">
        <f>"["&amp;$C534&amp;"]["&amp;$D534&amp;"]["&amp;$F534&amp;"]"</f>
        <v>[S08_NegativeOpinionActivityData][2][NumberOfInstallationsConEst]</v>
      </c>
    </row>
    <row r="535" spans="1:15" x14ac:dyDescent="0.3">
      <c r="A535" t="s">
        <v>1793</v>
      </c>
      <c r="B535" t="s">
        <v>2104</v>
      </c>
      <c r="C535" t="s">
        <v>2105</v>
      </c>
      <c r="D535">
        <v>3</v>
      </c>
      <c r="E535" t="s">
        <v>1447</v>
      </c>
      <c r="F535" t="s">
        <v>2106</v>
      </c>
      <c r="G535" t="s">
        <v>1811</v>
      </c>
      <c r="H535" t="s">
        <v>1799</v>
      </c>
      <c r="I535">
        <v>0</v>
      </c>
      <c r="J535" t="s">
        <v>1799</v>
      </c>
      <c r="K535" t="s">
        <v>1799</v>
      </c>
      <c r="L535" t="s">
        <v>1799</v>
      </c>
      <c r="M535" t="s">
        <v>1799</v>
      </c>
      <c r="N535" t="s">
        <v>1799</v>
      </c>
      <c r="O535" s="184" t="str">
        <f>"["&amp;$C535&amp;"]["&amp;$D535&amp;"]["&amp;$F535&amp;"]"</f>
        <v>[S08_NegativeOpinionActivityData][3][NumberOfInstallationsConEst]</v>
      </c>
    </row>
    <row r="536" spans="1:15" x14ac:dyDescent="0.3">
      <c r="A536" t="s">
        <v>1793</v>
      </c>
      <c r="B536" t="s">
        <v>2104</v>
      </c>
      <c r="C536" t="s">
        <v>2105</v>
      </c>
      <c r="D536">
        <v>4</v>
      </c>
      <c r="E536" t="s">
        <v>1447</v>
      </c>
      <c r="F536" t="s">
        <v>2106</v>
      </c>
      <c r="G536" t="s">
        <v>1811</v>
      </c>
      <c r="H536" t="s">
        <v>1799</v>
      </c>
      <c r="I536">
        <v>0</v>
      </c>
      <c r="J536" t="s">
        <v>1799</v>
      </c>
      <c r="K536" t="s">
        <v>1799</v>
      </c>
      <c r="L536" t="s">
        <v>1799</v>
      </c>
      <c r="M536" t="s">
        <v>1799</v>
      </c>
      <c r="N536" t="s">
        <v>1799</v>
      </c>
      <c r="O536" s="184" t="str">
        <f>"["&amp;$C536&amp;"]["&amp;$D536&amp;"]["&amp;$F536&amp;"]"</f>
        <v>[S08_NegativeOpinionActivityData][4][NumberOfInstallationsConEst]</v>
      </c>
    </row>
    <row r="537" spans="1:15" x14ac:dyDescent="0.3">
      <c r="A537" t="s">
        <v>1793</v>
      </c>
      <c r="B537" t="s">
        <v>2104</v>
      </c>
      <c r="C537" t="s">
        <v>2107</v>
      </c>
      <c r="D537">
        <v>0</v>
      </c>
      <c r="E537" t="s">
        <v>1447</v>
      </c>
      <c r="F537" t="s">
        <v>2107</v>
      </c>
      <c r="G537" t="s">
        <v>1829</v>
      </c>
      <c r="H537" t="s">
        <v>1799</v>
      </c>
      <c r="I537" t="s">
        <v>1799</v>
      </c>
      <c r="J537" t="s">
        <v>1799</v>
      </c>
      <c r="K537" t="s">
        <v>1799</v>
      </c>
      <c r="L537" t="s">
        <v>1419</v>
      </c>
      <c r="M537" t="s">
        <v>1799</v>
      </c>
      <c r="N537" t="s">
        <v>1799</v>
      </c>
      <c r="O537" s="184" t="str">
        <f>"["&amp;$C537&amp;"]["&amp;$D537&amp;"]["&amp;$F537&amp;"]"</f>
        <v>[ActivityDataIssues][0][ActivityDataIssues]</v>
      </c>
    </row>
    <row r="538" spans="1:15" x14ac:dyDescent="0.3">
      <c r="A538" t="s">
        <v>1793</v>
      </c>
      <c r="B538" t="s">
        <v>2108</v>
      </c>
      <c r="C538" t="s">
        <v>2109</v>
      </c>
      <c r="D538">
        <v>1</v>
      </c>
      <c r="E538" t="s">
        <v>1447</v>
      </c>
      <c r="F538" t="s">
        <v>2038</v>
      </c>
      <c r="G538" t="s">
        <v>1737</v>
      </c>
      <c r="H538" t="s">
        <v>1799</v>
      </c>
      <c r="I538" t="s">
        <v>1799</v>
      </c>
      <c r="J538" t="s">
        <v>1799</v>
      </c>
      <c r="K538" t="s">
        <v>1799</v>
      </c>
      <c r="L538" t="s">
        <v>1420</v>
      </c>
      <c r="M538" t="s">
        <v>1799</v>
      </c>
      <c r="N538" t="s">
        <v>1799</v>
      </c>
      <c r="O538" s="184" t="str">
        <f>"["&amp;$C538&amp;"]["&amp;$D538&amp;"]["&amp;$F538&amp;"]"</f>
        <v>[S08_ActivityDataIssuesDetail][1][AnnexIActivity]</v>
      </c>
    </row>
    <row r="539" spans="1:15" x14ac:dyDescent="0.3">
      <c r="A539" t="s">
        <v>1793</v>
      </c>
      <c r="B539" t="s">
        <v>2108</v>
      </c>
      <c r="C539" t="s">
        <v>2109</v>
      </c>
      <c r="D539">
        <v>2</v>
      </c>
      <c r="E539" t="s">
        <v>1447</v>
      </c>
      <c r="F539" t="s">
        <v>2038</v>
      </c>
      <c r="G539" t="s">
        <v>1737</v>
      </c>
      <c r="H539" t="s">
        <v>1799</v>
      </c>
      <c r="I539" t="s">
        <v>1799</v>
      </c>
      <c r="J539" t="s">
        <v>1799</v>
      </c>
      <c r="K539" t="s">
        <v>1799</v>
      </c>
      <c r="L539" t="s">
        <v>1592</v>
      </c>
      <c r="M539" t="s">
        <v>1799</v>
      </c>
      <c r="N539" t="s">
        <v>1799</v>
      </c>
      <c r="O539" s="184" t="str">
        <f>"["&amp;$C539&amp;"]["&amp;$D539&amp;"]["&amp;$F539&amp;"]"</f>
        <v>[S08_ActivityDataIssuesDetail][2][AnnexIActivity]</v>
      </c>
    </row>
    <row r="540" spans="1:15" x14ac:dyDescent="0.3">
      <c r="A540" t="s">
        <v>1793</v>
      </c>
      <c r="B540" t="s">
        <v>2108</v>
      </c>
      <c r="C540" t="s">
        <v>2109</v>
      </c>
      <c r="D540">
        <v>3</v>
      </c>
      <c r="E540" t="s">
        <v>1447</v>
      </c>
      <c r="F540" t="s">
        <v>2038</v>
      </c>
      <c r="G540" t="s">
        <v>1737</v>
      </c>
      <c r="H540" t="s">
        <v>1799</v>
      </c>
      <c r="I540" t="s">
        <v>1799</v>
      </c>
      <c r="J540" t="s">
        <v>1799</v>
      </c>
      <c r="K540" t="s">
        <v>1799</v>
      </c>
      <c r="L540" t="s">
        <v>1420</v>
      </c>
      <c r="M540" t="s">
        <v>1799</v>
      </c>
      <c r="N540" t="s">
        <v>1799</v>
      </c>
      <c r="O540" s="184" t="str">
        <f>"["&amp;$C540&amp;"]["&amp;$D540&amp;"]["&amp;$F540&amp;"]"</f>
        <v>[S08_ActivityDataIssuesDetail][3][AnnexIActivity]</v>
      </c>
    </row>
    <row r="541" spans="1:15" x14ac:dyDescent="0.3">
      <c r="A541" t="s">
        <v>1793</v>
      </c>
      <c r="B541" t="s">
        <v>2108</v>
      </c>
      <c r="C541" t="s">
        <v>2109</v>
      </c>
      <c r="D541">
        <v>4</v>
      </c>
      <c r="E541" t="s">
        <v>1447</v>
      </c>
      <c r="F541" t="s">
        <v>2038</v>
      </c>
      <c r="G541" t="s">
        <v>1737</v>
      </c>
      <c r="H541" t="s">
        <v>1799</v>
      </c>
      <c r="I541" t="s">
        <v>1799</v>
      </c>
      <c r="J541" t="s">
        <v>1799</v>
      </c>
      <c r="K541" t="s">
        <v>1799</v>
      </c>
      <c r="L541" t="s">
        <v>1448</v>
      </c>
      <c r="M541" t="s">
        <v>1799</v>
      </c>
      <c r="N541" t="s">
        <v>1799</v>
      </c>
      <c r="O541" s="184" t="str">
        <f>"["&amp;$C541&amp;"]["&amp;$D541&amp;"]["&amp;$F541&amp;"]"</f>
        <v>[S08_ActivityDataIssuesDetail][4][AnnexIActivity]</v>
      </c>
    </row>
    <row r="542" spans="1:15" x14ac:dyDescent="0.3">
      <c r="A542" t="s">
        <v>1793</v>
      </c>
      <c r="B542" t="s">
        <v>2108</v>
      </c>
      <c r="C542" t="s">
        <v>2109</v>
      </c>
      <c r="D542">
        <v>5</v>
      </c>
      <c r="E542" t="s">
        <v>1447</v>
      </c>
      <c r="F542" t="s">
        <v>2038</v>
      </c>
      <c r="G542" t="s">
        <v>1737</v>
      </c>
      <c r="H542" t="s">
        <v>1799</v>
      </c>
      <c r="I542" t="s">
        <v>1799</v>
      </c>
      <c r="J542" t="s">
        <v>1799</v>
      </c>
      <c r="K542" t="s">
        <v>1799</v>
      </c>
      <c r="L542" t="s">
        <v>1420</v>
      </c>
      <c r="M542" t="s">
        <v>1799</v>
      </c>
      <c r="N542" t="s">
        <v>1799</v>
      </c>
      <c r="O542" s="184" t="str">
        <f>"["&amp;$C542&amp;"]["&amp;$D542&amp;"]["&amp;$F542&amp;"]"</f>
        <v>[S08_ActivityDataIssuesDetail][5][AnnexIActivity]</v>
      </c>
    </row>
    <row r="543" spans="1:15" x14ac:dyDescent="0.3">
      <c r="A543" t="s">
        <v>1793</v>
      </c>
      <c r="B543" t="s">
        <v>2108</v>
      </c>
      <c r="C543" t="s">
        <v>2109</v>
      </c>
      <c r="D543">
        <v>6</v>
      </c>
      <c r="E543" t="s">
        <v>1447</v>
      </c>
      <c r="F543" t="s">
        <v>2038</v>
      </c>
      <c r="G543" t="s">
        <v>1737</v>
      </c>
      <c r="H543" t="s">
        <v>1799</v>
      </c>
      <c r="I543" t="s">
        <v>1799</v>
      </c>
      <c r="J543" t="s">
        <v>1799</v>
      </c>
      <c r="K543" t="s">
        <v>1799</v>
      </c>
      <c r="L543" t="s">
        <v>1568</v>
      </c>
      <c r="M543" t="s">
        <v>1799</v>
      </c>
      <c r="N543" t="s">
        <v>1799</v>
      </c>
      <c r="O543" s="184" t="str">
        <f>"["&amp;$C543&amp;"]["&amp;$D543&amp;"]["&amp;$F543&amp;"]"</f>
        <v>[S08_ActivityDataIssuesDetail][6][AnnexIActivity]</v>
      </c>
    </row>
    <row r="544" spans="1:15" x14ac:dyDescent="0.3">
      <c r="A544" t="s">
        <v>1793</v>
      </c>
      <c r="B544" t="s">
        <v>2108</v>
      </c>
      <c r="C544" t="s">
        <v>2109</v>
      </c>
      <c r="D544">
        <v>7</v>
      </c>
      <c r="E544" t="s">
        <v>1447</v>
      </c>
      <c r="F544" t="s">
        <v>2038</v>
      </c>
      <c r="G544" t="s">
        <v>1737</v>
      </c>
      <c r="H544" t="s">
        <v>1799</v>
      </c>
      <c r="I544" t="s">
        <v>1799</v>
      </c>
      <c r="J544" t="s">
        <v>1799</v>
      </c>
      <c r="K544" t="s">
        <v>1799</v>
      </c>
      <c r="L544" t="s">
        <v>1448</v>
      </c>
      <c r="M544" t="s">
        <v>1799</v>
      </c>
      <c r="N544" t="s">
        <v>1799</v>
      </c>
      <c r="O544" s="184" t="str">
        <f>"["&amp;$C544&amp;"]["&amp;$D544&amp;"]["&amp;$F544&amp;"]"</f>
        <v>[S08_ActivityDataIssuesDetail][7][AnnexIActivity]</v>
      </c>
    </row>
    <row r="545" spans="1:15" x14ac:dyDescent="0.3">
      <c r="A545" t="s">
        <v>1793</v>
      </c>
      <c r="B545" t="s">
        <v>2108</v>
      </c>
      <c r="C545" t="s">
        <v>2109</v>
      </c>
      <c r="D545">
        <v>1</v>
      </c>
      <c r="E545" t="s">
        <v>1447</v>
      </c>
      <c r="F545" t="s">
        <v>2039</v>
      </c>
      <c r="G545" t="s">
        <v>1737</v>
      </c>
      <c r="H545" t="s">
        <v>1799</v>
      </c>
      <c r="I545" t="s">
        <v>1799</v>
      </c>
      <c r="J545" t="s">
        <v>1799</v>
      </c>
      <c r="K545" t="s">
        <v>1799</v>
      </c>
      <c r="L545" t="s">
        <v>1467</v>
      </c>
      <c r="M545" t="s">
        <v>1799</v>
      </c>
      <c r="N545" t="s">
        <v>1799</v>
      </c>
      <c r="O545" s="184" t="str">
        <f>"["&amp;$C545&amp;"]["&amp;$D545&amp;"]["&amp;$F545&amp;"]"</f>
        <v>[S08_ActivityDataIssuesDetail][1][TypeOfIssue]</v>
      </c>
    </row>
    <row r="546" spans="1:15" x14ac:dyDescent="0.3">
      <c r="A546" t="s">
        <v>1793</v>
      </c>
      <c r="B546" t="s">
        <v>2108</v>
      </c>
      <c r="C546" t="s">
        <v>2109</v>
      </c>
      <c r="D546">
        <v>2</v>
      </c>
      <c r="E546" t="s">
        <v>1447</v>
      </c>
      <c r="F546" t="s">
        <v>2039</v>
      </c>
      <c r="G546" t="s">
        <v>1737</v>
      </c>
      <c r="H546" t="s">
        <v>1799</v>
      </c>
      <c r="I546" t="s">
        <v>1799</v>
      </c>
      <c r="J546" t="s">
        <v>1799</v>
      </c>
      <c r="K546" t="s">
        <v>1799</v>
      </c>
      <c r="L546" t="s">
        <v>1467</v>
      </c>
      <c r="M546" t="s">
        <v>1799</v>
      </c>
      <c r="N546" t="s">
        <v>1799</v>
      </c>
      <c r="O546" s="184" t="str">
        <f>"["&amp;$C546&amp;"]["&amp;$D546&amp;"]["&amp;$F546&amp;"]"</f>
        <v>[S08_ActivityDataIssuesDetail][2][TypeOfIssue]</v>
      </c>
    </row>
    <row r="547" spans="1:15" x14ac:dyDescent="0.3">
      <c r="A547" t="s">
        <v>1793</v>
      </c>
      <c r="B547" t="s">
        <v>2108</v>
      </c>
      <c r="C547" t="s">
        <v>2109</v>
      </c>
      <c r="D547">
        <v>3</v>
      </c>
      <c r="E547" t="s">
        <v>1447</v>
      </c>
      <c r="F547" t="s">
        <v>2039</v>
      </c>
      <c r="G547" t="s">
        <v>1737</v>
      </c>
      <c r="H547" t="s">
        <v>1799</v>
      </c>
      <c r="I547" t="s">
        <v>1799</v>
      </c>
      <c r="J547" t="s">
        <v>1799</v>
      </c>
      <c r="K547" t="s">
        <v>1799</v>
      </c>
      <c r="L547" t="s">
        <v>1497</v>
      </c>
      <c r="M547" t="s">
        <v>1799</v>
      </c>
      <c r="N547" t="s">
        <v>1799</v>
      </c>
      <c r="O547" s="184" t="str">
        <f>"["&amp;$C547&amp;"]["&amp;$D547&amp;"]["&amp;$F547&amp;"]"</f>
        <v>[S08_ActivityDataIssuesDetail][3][TypeOfIssue]</v>
      </c>
    </row>
    <row r="548" spans="1:15" x14ac:dyDescent="0.3">
      <c r="A548" t="s">
        <v>1793</v>
      </c>
      <c r="B548" t="s">
        <v>2108</v>
      </c>
      <c r="C548" t="s">
        <v>2109</v>
      </c>
      <c r="D548">
        <v>4</v>
      </c>
      <c r="E548" t="s">
        <v>1447</v>
      </c>
      <c r="F548" t="s">
        <v>2039</v>
      </c>
      <c r="G548" t="s">
        <v>1737</v>
      </c>
      <c r="H548" t="s">
        <v>1799</v>
      </c>
      <c r="I548" t="s">
        <v>1799</v>
      </c>
      <c r="J548" t="s">
        <v>1799</v>
      </c>
      <c r="K548" t="s">
        <v>1799</v>
      </c>
      <c r="L548" t="s">
        <v>1497</v>
      </c>
      <c r="M548" t="s">
        <v>1799</v>
      </c>
      <c r="N548" t="s">
        <v>1799</v>
      </c>
      <c r="O548" s="184" t="str">
        <f>"["&amp;$C548&amp;"]["&amp;$D548&amp;"]["&amp;$F548&amp;"]"</f>
        <v>[S08_ActivityDataIssuesDetail][4][TypeOfIssue]</v>
      </c>
    </row>
    <row r="549" spans="1:15" x14ac:dyDescent="0.3">
      <c r="A549" t="s">
        <v>1793</v>
      </c>
      <c r="B549" t="s">
        <v>2108</v>
      </c>
      <c r="C549" t="s">
        <v>2109</v>
      </c>
      <c r="D549">
        <v>5</v>
      </c>
      <c r="E549" t="s">
        <v>1447</v>
      </c>
      <c r="F549" t="s">
        <v>2039</v>
      </c>
      <c r="G549" t="s">
        <v>1737</v>
      </c>
      <c r="H549" t="s">
        <v>1799</v>
      </c>
      <c r="I549" t="s">
        <v>1799</v>
      </c>
      <c r="J549" t="s">
        <v>1799</v>
      </c>
      <c r="K549" t="s">
        <v>1799</v>
      </c>
      <c r="L549" t="s">
        <v>1512</v>
      </c>
      <c r="M549" t="s">
        <v>1799</v>
      </c>
      <c r="N549" t="s">
        <v>1799</v>
      </c>
      <c r="O549" s="184" t="str">
        <f>"["&amp;$C549&amp;"]["&amp;$D549&amp;"]["&amp;$F549&amp;"]"</f>
        <v>[S08_ActivityDataIssuesDetail][5][TypeOfIssue]</v>
      </c>
    </row>
    <row r="550" spans="1:15" x14ac:dyDescent="0.3">
      <c r="A550" t="s">
        <v>1793</v>
      </c>
      <c r="B550" t="s">
        <v>2108</v>
      </c>
      <c r="C550" t="s">
        <v>2109</v>
      </c>
      <c r="D550">
        <v>6</v>
      </c>
      <c r="E550" t="s">
        <v>1447</v>
      </c>
      <c r="F550" t="s">
        <v>2039</v>
      </c>
      <c r="G550" t="s">
        <v>1737</v>
      </c>
      <c r="H550" t="s">
        <v>1799</v>
      </c>
      <c r="I550" t="s">
        <v>1799</v>
      </c>
      <c r="J550" t="s">
        <v>1799</v>
      </c>
      <c r="K550" t="s">
        <v>1799</v>
      </c>
      <c r="L550" t="s">
        <v>1512</v>
      </c>
      <c r="M550" t="s">
        <v>1799</v>
      </c>
      <c r="N550" t="s">
        <v>1799</v>
      </c>
      <c r="O550" s="184" t="str">
        <f>"["&amp;$C550&amp;"]["&amp;$D550&amp;"]["&amp;$F550&amp;"]"</f>
        <v>[S08_ActivityDataIssuesDetail][6][TypeOfIssue]</v>
      </c>
    </row>
    <row r="551" spans="1:15" x14ac:dyDescent="0.3">
      <c r="A551" t="s">
        <v>1793</v>
      </c>
      <c r="B551" t="s">
        <v>2108</v>
      </c>
      <c r="C551" t="s">
        <v>2109</v>
      </c>
      <c r="D551">
        <v>7</v>
      </c>
      <c r="E551" t="s">
        <v>1447</v>
      </c>
      <c r="F551" t="s">
        <v>2039</v>
      </c>
      <c r="G551" t="s">
        <v>1737</v>
      </c>
      <c r="H551" t="s">
        <v>1799</v>
      </c>
      <c r="I551" t="s">
        <v>1799</v>
      </c>
      <c r="J551" t="s">
        <v>1799</v>
      </c>
      <c r="K551" t="s">
        <v>1799</v>
      </c>
      <c r="L551" t="s">
        <v>1512</v>
      </c>
      <c r="M551" t="s">
        <v>1799</v>
      </c>
      <c r="N551" t="s">
        <v>1799</v>
      </c>
      <c r="O551" s="184" t="str">
        <f>"["&amp;$C551&amp;"]["&amp;$D551&amp;"]["&amp;$F551&amp;"]"</f>
        <v>[S08_ActivityDataIssuesDetail][7][TypeOfIssue]</v>
      </c>
    </row>
    <row r="552" spans="1:15" x14ac:dyDescent="0.3">
      <c r="A552" t="s">
        <v>1793</v>
      </c>
      <c r="B552" t="s">
        <v>2108</v>
      </c>
      <c r="C552" t="s">
        <v>2109</v>
      </c>
      <c r="D552">
        <v>1</v>
      </c>
      <c r="E552" t="s">
        <v>1447</v>
      </c>
      <c r="F552" t="s">
        <v>1872</v>
      </c>
      <c r="G552" t="s">
        <v>1811</v>
      </c>
      <c r="H552" t="s">
        <v>1799</v>
      </c>
      <c r="I552">
        <v>4</v>
      </c>
      <c r="J552" t="s">
        <v>1799</v>
      </c>
      <c r="K552" t="s">
        <v>1799</v>
      </c>
      <c r="L552" t="s">
        <v>1799</v>
      </c>
      <c r="M552" t="s">
        <v>1799</v>
      </c>
      <c r="N552" t="s">
        <v>1799</v>
      </c>
      <c r="O552" s="184" t="str">
        <f>"["&amp;$C552&amp;"]["&amp;$D552&amp;"]["&amp;$F552&amp;"]"</f>
        <v>[S08_ActivityDataIssuesDetail][1][NumberOfInstallations]</v>
      </c>
    </row>
    <row r="553" spans="1:15" x14ac:dyDescent="0.3">
      <c r="A553" t="s">
        <v>1793</v>
      </c>
      <c r="B553" t="s">
        <v>2108</v>
      </c>
      <c r="C553" t="s">
        <v>2109</v>
      </c>
      <c r="D553">
        <v>2</v>
      </c>
      <c r="E553" t="s">
        <v>1447</v>
      </c>
      <c r="F553" t="s">
        <v>1872</v>
      </c>
      <c r="G553" t="s">
        <v>1811</v>
      </c>
      <c r="H553" t="s">
        <v>1799</v>
      </c>
      <c r="I553">
        <v>1</v>
      </c>
      <c r="J553" t="s">
        <v>1799</v>
      </c>
      <c r="K553" t="s">
        <v>1799</v>
      </c>
      <c r="L553" t="s">
        <v>1799</v>
      </c>
      <c r="M553" t="s">
        <v>1799</v>
      </c>
      <c r="N553" t="s">
        <v>1799</v>
      </c>
      <c r="O553" s="184" t="str">
        <f>"["&amp;$C553&amp;"]["&amp;$D553&amp;"]["&amp;$F553&amp;"]"</f>
        <v>[S08_ActivityDataIssuesDetail][2][NumberOfInstallations]</v>
      </c>
    </row>
    <row r="554" spans="1:15" x14ac:dyDescent="0.3">
      <c r="A554" t="s">
        <v>1793</v>
      </c>
      <c r="B554" t="s">
        <v>2108</v>
      </c>
      <c r="C554" t="s">
        <v>2109</v>
      </c>
      <c r="D554">
        <v>3</v>
      </c>
      <c r="E554" t="s">
        <v>1447</v>
      </c>
      <c r="F554" t="s">
        <v>1872</v>
      </c>
      <c r="G554" t="s">
        <v>1811</v>
      </c>
      <c r="H554" t="s">
        <v>1799</v>
      </c>
      <c r="I554">
        <v>1</v>
      </c>
      <c r="J554" t="s">
        <v>1799</v>
      </c>
      <c r="K554" t="s">
        <v>1799</v>
      </c>
      <c r="L554" t="s">
        <v>1799</v>
      </c>
      <c r="M554" t="s">
        <v>1799</v>
      </c>
      <c r="N554" t="s">
        <v>1799</v>
      </c>
      <c r="O554" s="184" t="str">
        <f>"["&amp;$C554&amp;"]["&amp;$D554&amp;"]["&amp;$F554&amp;"]"</f>
        <v>[S08_ActivityDataIssuesDetail][3][NumberOfInstallations]</v>
      </c>
    </row>
    <row r="555" spans="1:15" x14ac:dyDescent="0.3">
      <c r="A555" t="s">
        <v>1793</v>
      </c>
      <c r="B555" t="s">
        <v>2108</v>
      </c>
      <c r="C555" t="s">
        <v>2109</v>
      </c>
      <c r="D555">
        <v>4</v>
      </c>
      <c r="E555" t="s">
        <v>1447</v>
      </c>
      <c r="F555" t="s">
        <v>1872</v>
      </c>
      <c r="G555" t="s">
        <v>1811</v>
      </c>
      <c r="H555" t="s">
        <v>1799</v>
      </c>
      <c r="I555">
        <v>1</v>
      </c>
      <c r="J555" t="s">
        <v>1799</v>
      </c>
      <c r="K555" t="s">
        <v>1799</v>
      </c>
      <c r="L555" t="s">
        <v>1799</v>
      </c>
      <c r="M555" t="s">
        <v>1799</v>
      </c>
      <c r="N555" t="s">
        <v>1799</v>
      </c>
      <c r="O555" s="184" t="str">
        <f>"["&amp;$C555&amp;"]["&amp;$D555&amp;"]["&amp;$F555&amp;"]"</f>
        <v>[S08_ActivityDataIssuesDetail][4][NumberOfInstallations]</v>
      </c>
    </row>
    <row r="556" spans="1:15" x14ac:dyDescent="0.3">
      <c r="A556" t="s">
        <v>1793</v>
      </c>
      <c r="B556" t="s">
        <v>2108</v>
      </c>
      <c r="C556" t="s">
        <v>2109</v>
      </c>
      <c r="D556">
        <v>5</v>
      </c>
      <c r="E556" t="s">
        <v>1447</v>
      </c>
      <c r="F556" t="s">
        <v>1872</v>
      </c>
      <c r="G556" t="s">
        <v>1811</v>
      </c>
      <c r="H556" t="s">
        <v>1799</v>
      </c>
      <c r="I556">
        <v>9</v>
      </c>
      <c r="J556" t="s">
        <v>1799</v>
      </c>
      <c r="K556" t="s">
        <v>1799</v>
      </c>
      <c r="L556" t="s">
        <v>1799</v>
      </c>
      <c r="M556" t="s">
        <v>1799</v>
      </c>
      <c r="N556" t="s">
        <v>1799</v>
      </c>
      <c r="O556" s="184" t="str">
        <f>"["&amp;$C556&amp;"]["&amp;$D556&amp;"]["&amp;$F556&amp;"]"</f>
        <v>[S08_ActivityDataIssuesDetail][5][NumberOfInstallations]</v>
      </c>
    </row>
    <row r="557" spans="1:15" x14ac:dyDescent="0.3">
      <c r="A557" t="s">
        <v>1793</v>
      </c>
      <c r="B557" t="s">
        <v>2108</v>
      </c>
      <c r="C557" t="s">
        <v>2109</v>
      </c>
      <c r="D557">
        <v>6</v>
      </c>
      <c r="E557" t="s">
        <v>1447</v>
      </c>
      <c r="F557" t="s">
        <v>1872</v>
      </c>
      <c r="G557" t="s">
        <v>1811</v>
      </c>
      <c r="H557" t="s">
        <v>1799</v>
      </c>
      <c r="I557">
        <v>1</v>
      </c>
      <c r="J557" t="s">
        <v>1799</v>
      </c>
      <c r="K557" t="s">
        <v>1799</v>
      </c>
      <c r="L557" t="s">
        <v>1799</v>
      </c>
      <c r="M557" t="s">
        <v>1799</v>
      </c>
      <c r="N557" t="s">
        <v>1799</v>
      </c>
      <c r="O557" s="184" t="str">
        <f>"["&amp;$C557&amp;"]["&amp;$D557&amp;"]["&amp;$F557&amp;"]"</f>
        <v>[S08_ActivityDataIssuesDetail][6][NumberOfInstallations]</v>
      </c>
    </row>
    <row r="558" spans="1:15" x14ac:dyDescent="0.3">
      <c r="A558" t="s">
        <v>1793</v>
      </c>
      <c r="B558" t="s">
        <v>2108</v>
      </c>
      <c r="C558" t="s">
        <v>2109</v>
      </c>
      <c r="D558">
        <v>7</v>
      </c>
      <c r="E558" t="s">
        <v>1447</v>
      </c>
      <c r="F558" t="s">
        <v>1872</v>
      </c>
      <c r="G558" t="s">
        <v>1811</v>
      </c>
      <c r="H558" t="s">
        <v>1799</v>
      </c>
      <c r="I558">
        <v>3</v>
      </c>
      <c r="J558" t="s">
        <v>1799</v>
      </c>
      <c r="K558" t="s">
        <v>1799</v>
      </c>
      <c r="L558" t="s">
        <v>1799</v>
      </c>
      <c r="M558" t="s">
        <v>1799</v>
      </c>
      <c r="N558" t="s">
        <v>1799</v>
      </c>
      <c r="O558" s="184" t="str">
        <f>"["&amp;$C558&amp;"]["&amp;$D558&amp;"]["&amp;$F558&amp;"]"</f>
        <v>[S08_ActivityDataIssuesDetail][7][NumberOfInstallations]</v>
      </c>
    </row>
    <row r="559" spans="1:15" x14ac:dyDescent="0.3">
      <c r="A559" t="s">
        <v>1793</v>
      </c>
      <c r="B559" t="s">
        <v>2108</v>
      </c>
      <c r="C559" t="s">
        <v>2109</v>
      </c>
      <c r="D559">
        <v>1</v>
      </c>
      <c r="E559" t="s">
        <v>1447</v>
      </c>
      <c r="F559" t="s">
        <v>2029</v>
      </c>
      <c r="G559" t="s">
        <v>1811</v>
      </c>
      <c r="H559" t="s">
        <v>1799</v>
      </c>
      <c r="I559">
        <v>4</v>
      </c>
      <c r="J559" t="s">
        <v>1799</v>
      </c>
      <c r="K559" t="s">
        <v>1799</v>
      </c>
      <c r="L559" t="s">
        <v>1799</v>
      </c>
      <c r="M559" t="s">
        <v>1799</v>
      </c>
      <c r="N559" t="s">
        <v>1799</v>
      </c>
      <c r="O559" s="184" t="str">
        <f>"["&amp;$C559&amp;"]["&amp;$D559&amp;"]["&amp;$F559&amp;"]"</f>
        <v>[S08_ActivityDataIssuesDetail][1][NumberOfIssues]</v>
      </c>
    </row>
    <row r="560" spans="1:15" x14ac:dyDescent="0.3">
      <c r="A560" t="s">
        <v>1793</v>
      </c>
      <c r="B560" t="s">
        <v>2108</v>
      </c>
      <c r="C560" t="s">
        <v>2109</v>
      </c>
      <c r="D560">
        <v>2</v>
      </c>
      <c r="E560" t="s">
        <v>1447</v>
      </c>
      <c r="F560" t="s">
        <v>2029</v>
      </c>
      <c r="G560" t="s">
        <v>1811</v>
      </c>
      <c r="H560" t="s">
        <v>1799</v>
      </c>
      <c r="I560">
        <v>1</v>
      </c>
      <c r="J560" t="s">
        <v>1799</v>
      </c>
      <c r="K560" t="s">
        <v>1799</v>
      </c>
      <c r="L560" t="s">
        <v>1799</v>
      </c>
      <c r="M560" t="s">
        <v>1799</v>
      </c>
      <c r="N560" t="s">
        <v>1799</v>
      </c>
      <c r="O560" s="184" t="str">
        <f>"["&amp;$C560&amp;"]["&amp;$D560&amp;"]["&amp;$F560&amp;"]"</f>
        <v>[S08_ActivityDataIssuesDetail][2][NumberOfIssues]</v>
      </c>
    </row>
    <row r="561" spans="1:15" x14ac:dyDescent="0.3">
      <c r="A561" t="s">
        <v>1793</v>
      </c>
      <c r="B561" t="s">
        <v>2108</v>
      </c>
      <c r="C561" t="s">
        <v>2109</v>
      </c>
      <c r="D561">
        <v>3</v>
      </c>
      <c r="E561" t="s">
        <v>1447</v>
      </c>
      <c r="F561" t="s">
        <v>2029</v>
      </c>
      <c r="G561" t="s">
        <v>1811</v>
      </c>
      <c r="H561" t="s">
        <v>1799</v>
      </c>
      <c r="I561">
        <v>1</v>
      </c>
      <c r="J561" t="s">
        <v>1799</v>
      </c>
      <c r="K561" t="s">
        <v>1799</v>
      </c>
      <c r="L561" t="s">
        <v>1799</v>
      </c>
      <c r="M561" t="s">
        <v>1799</v>
      </c>
      <c r="N561" t="s">
        <v>1799</v>
      </c>
      <c r="O561" s="184" t="str">
        <f>"["&amp;$C561&amp;"]["&amp;$D561&amp;"]["&amp;$F561&amp;"]"</f>
        <v>[S08_ActivityDataIssuesDetail][3][NumberOfIssues]</v>
      </c>
    </row>
    <row r="562" spans="1:15" x14ac:dyDescent="0.3">
      <c r="A562" t="s">
        <v>1793</v>
      </c>
      <c r="B562" t="s">
        <v>2108</v>
      </c>
      <c r="C562" t="s">
        <v>2109</v>
      </c>
      <c r="D562">
        <v>4</v>
      </c>
      <c r="E562" t="s">
        <v>1447</v>
      </c>
      <c r="F562" t="s">
        <v>2029</v>
      </c>
      <c r="G562" t="s">
        <v>1811</v>
      </c>
      <c r="H562" t="s">
        <v>1799</v>
      </c>
      <c r="I562">
        <v>1</v>
      </c>
      <c r="J562" t="s">
        <v>1799</v>
      </c>
      <c r="K562" t="s">
        <v>1799</v>
      </c>
      <c r="L562" t="s">
        <v>1799</v>
      </c>
      <c r="M562" t="s">
        <v>1799</v>
      </c>
      <c r="N562" t="s">
        <v>1799</v>
      </c>
      <c r="O562" s="184" t="str">
        <f>"["&amp;$C562&amp;"]["&amp;$D562&amp;"]["&amp;$F562&amp;"]"</f>
        <v>[S08_ActivityDataIssuesDetail][4][NumberOfIssues]</v>
      </c>
    </row>
    <row r="563" spans="1:15" x14ac:dyDescent="0.3">
      <c r="A563" t="s">
        <v>1793</v>
      </c>
      <c r="B563" t="s">
        <v>2108</v>
      </c>
      <c r="C563" t="s">
        <v>2109</v>
      </c>
      <c r="D563">
        <v>5</v>
      </c>
      <c r="E563" t="s">
        <v>1447</v>
      </c>
      <c r="F563" t="s">
        <v>2029</v>
      </c>
      <c r="G563" t="s">
        <v>1811</v>
      </c>
      <c r="H563" t="s">
        <v>1799</v>
      </c>
      <c r="I563">
        <v>9</v>
      </c>
      <c r="J563" t="s">
        <v>1799</v>
      </c>
      <c r="K563" t="s">
        <v>1799</v>
      </c>
      <c r="L563" t="s">
        <v>1799</v>
      </c>
      <c r="M563" t="s">
        <v>1799</v>
      </c>
      <c r="N563" t="s">
        <v>1799</v>
      </c>
      <c r="O563" s="184" t="str">
        <f>"["&amp;$C563&amp;"]["&amp;$D563&amp;"]["&amp;$F563&amp;"]"</f>
        <v>[S08_ActivityDataIssuesDetail][5][NumberOfIssues]</v>
      </c>
    </row>
    <row r="564" spans="1:15" x14ac:dyDescent="0.3">
      <c r="A564" t="s">
        <v>1793</v>
      </c>
      <c r="B564" t="s">
        <v>2108</v>
      </c>
      <c r="C564" t="s">
        <v>2109</v>
      </c>
      <c r="D564">
        <v>6</v>
      </c>
      <c r="E564" t="s">
        <v>1447</v>
      </c>
      <c r="F564" t="s">
        <v>2029</v>
      </c>
      <c r="G564" t="s">
        <v>1811</v>
      </c>
      <c r="H564" t="s">
        <v>1799</v>
      </c>
      <c r="I564">
        <v>1</v>
      </c>
      <c r="J564" t="s">
        <v>1799</v>
      </c>
      <c r="K564" t="s">
        <v>1799</v>
      </c>
      <c r="L564" t="s">
        <v>1799</v>
      </c>
      <c r="M564" t="s">
        <v>1799</v>
      </c>
      <c r="N564" t="s">
        <v>1799</v>
      </c>
      <c r="O564" s="184" t="str">
        <f>"["&amp;$C564&amp;"]["&amp;$D564&amp;"]["&amp;$F564&amp;"]"</f>
        <v>[S08_ActivityDataIssuesDetail][6][NumberOfIssues]</v>
      </c>
    </row>
    <row r="565" spans="1:15" x14ac:dyDescent="0.3">
      <c r="A565" t="s">
        <v>1793</v>
      </c>
      <c r="B565" t="s">
        <v>2108</v>
      </c>
      <c r="C565" t="s">
        <v>2109</v>
      </c>
      <c r="D565">
        <v>7</v>
      </c>
      <c r="E565" t="s">
        <v>1447</v>
      </c>
      <c r="F565" t="s">
        <v>2029</v>
      </c>
      <c r="G565" t="s">
        <v>1811</v>
      </c>
      <c r="H565" t="s">
        <v>1799</v>
      </c>
      <c r="I565">
        <v>3</v>
      </c>
      <c r="J565" t="s">
        <v>1799</v>
      </c>
      <c r="K565" t="s">
        <v>1799</v>
      </c>
      <c r="L565" t="s">
        <v>1799</v>
      </c>
      <c r="M565" t="s">
        <v>1799</v>
      </c>
      <c r="N565" t="s">
        <v>1799</v>
      </c>
      <c r="O565" s="184" t="str">
        <f>"["&amp;$C565&amp;"]["&amp;$D565&amp;"]["&amp;$F565&amp;"]"</f>
        <v>[S08_ActivityDataIssuesDetail][7][NumberOfIssues]</v>
      </c>
    </row>
    <row r="566" spans="1:15" x14ac:dyDescent="0.3">
      <c r="A566" t="s">
        <v>1793</v>
      </c>
      <c r="B566" t="s">
        <v>2108</v>
      </c>
      <c r="C566" t="s">
        <v>2109</v>
      </c>
      <c r="D566">
        <v>1</v>
      </c>
      <c r="E566" t="s">
        <v>1447</v>
      </c>
      <c r="F566" t="s">
        <v>2106</v>
      </c>
      <c r="G566" t="s">
        <v>1811</v>
      </c>
      <c r="H566" t="s">
        <v>1799</v>
      </c>
      <c r="I566">
        <v>0</v>
      </c>
      <c r="J566" t="s">
        <v>1799</v>
      </c>
      <c r="K566" t="s">
        <v>1799</v>
      </c>
      <c r="L566" t="s">
        <v>1799</v>
      </c>
      <c r="M566" t="s">
        <v>1799</v>
      </c>
      <c r="N566" t="s">
        <v>1799</v>
      </c>
      <c r="O566" s="184" t="str">
        <f>"["&amp;$C566&amp;"]["&amp;$D566&amp;"]["&amp;$F566&amp;"]"</f>
        <v>[S08_ActivityDataIssuesDetail][1][NumberOfInstallationsConEst]</v>
      </c>
    </row>
    <row r="567" spans="1:15" x14ac:dyDescent="0.3">
      <c r="A567" t="s">
        <v>1793</v>
      </c>
      <c r="B567" t="s">
        <v>2108</v>
      </c>
      <c r="C567" t="s">
        <v>2109</v>
      </c>
      <c r="D567">
        <v>2</v>
      </c>
      <c r="E567" t="s">
        <v>1447</v>
      </c>
      <c r="F567" t="s">
        <v>2106</v>
      </c>
      <c r="G567" t="s">
        <v>1811</v>
      </c>
      <c r="H567" t="s">
        <v>1799</v>
      </c>
      <c r="I567">
        <v>0</v>
      </c>
      <c r="J567" t="s">
        <v>1799</v>
      </c>
      <c r="K567" t="s">
        <v>1799</v>
      </c>
      <c r="L567" t="s">
        <v>1799</v>
      </c>
      <c r="M567" t="s">
        <v>1799</v>
      </c>
      <c r="N567" t="s">
        <v>1799</v>
      </c>
      <c r="O567" s="184" t="str">
        <f>"["&amp;$C567&amp;"]["&amp;$D567&amp;"]["&amp;$F567&amp;"]"</f>
        <v>[S08_ActivityDataIssuesDetail][2][NumberOfInstallationsConEst]</v>
      </c>
    </row>
    <row r="568" spans="1:15" x14ac:dyDescent="0.3">
      <c r="A568" t="s">
        <v>1793</v>
      </c>
      <c r="B568" t="s">
        <v>2108</v>
      </c>
      <c r="C568" t="s">
        <v>2109</v>
      </c>
      <c r="D568">
        <v>3</v>
      </c>
      <c r="E568" t="s">
        <v>1447</v>
      </c>
      <c r="F568" t="s">
        <v>2106</v>
      </c>
      <c r="G568" t="s">
        <v>1811</v>
      </c>
      <c r="H568" t="s">
        <v>1799</v>
      </c>
      <c r="I568">
        <v>0</v>
      </c>
      <c r="J568" t="s">
        <v>1799</v>
      </c>
      <c r="K568" t="s">
        <v>1799</v>
      </c>
      <c r="L568" t="s">
        <v>1799</v>
      </c>
      <c r="M568" t="s">
        <v>1799</v>
      </c>
      <c r="N568" t="s">
        <v>1799</v>
      </c>
      <c r="O568" s="184" t="str">
        <f>"["&amp;$C568&amp;"]["&amp;$D568&amp;"]["&amp;$F568&amp;"]"</f>
        <v>[S08_ActivityDataIssuesDetail][3][NumberOfInstallationsConEst]</v>
      </c>
    </row>
    <row r="569" spans="1:15" x14ac:dyDescent="0.3">
      <c r="A569" t="s">
        <v>1793</v>
      </c>
      <c r="B569" t="s">
        <v>2108</v>
      </c>
      <c r="C569" t="s">
        <v>2109</v>
      </c>
      <c r="D569">
        <v>4</v>
      </c>
      <c r="E569" t="s">
        <v>1447</v>
      </c>
      <c r="F569" t="s">
        <v>2106</v>
      </c>
      <c r="G569" t="s">
        <v>1811</v>
      </c>
      <c r="H569" t="s">
        <v>1799</v>
      </c>
      <c r="I569">
        <v>0</v>
      </c>
      <c r="J569" t="s">
        <v>1799</v>
      </c>
      <c r="K569" t="s">
        <v>1799</v>
      </c>
      <c r="L569" t="s">
        <v>1799</v>
      </c>
      <c r="M569" t="s">
        <v>1799</v>
      </c>
      <c r="N569" t="s">
        <v>1799</v>
      </c>
      <c r="O569" s="184" t="str">
        <f>"["&amp;$C569&amp;"]["&amp;$D569&amp;"]["&amp;$F569&amp;"]"</f>
        <v>[S08_ActivityDataIssuesDetail][4][NumberOfInstallationsConEst]</v>
      </c>
    </row>
    <row r="570" spans="1:15" x14ac:dyDescent="0.3">
      <c r="A570" t="s">
        <v>1793</v>
      </c>
      <c r="B570" t="s">
        <v>2108</v>
      </c>
      <c r="C570" t="s">
        <v>2109</v>
      </c>
      <c r="D570">
        <v>5</v>
      </c>
      <c r="E570" t="s">
        <v>1447</v>
      </c>
      <c r="F570" t="s">
        <v>2106</v>
      </c>
      <c r="G570" t="s">
        <v>1811</v>
      </c>
      <c r="H570" t="s">
        <v>1799</v>
      </c>
      <c r="I570">
        <v>0</v>
      </c>
      <c r="J570" t="s">
        <v>1799</v>
      </c>
      <c r="K570" t="s">
        <v>1799</v>
      </c>
      <c r="L570" t="s">
        <v>1799</v>
      </c>
      <c r="M570" t="s">
        <v>1799</v>
      </c>
      <c r="N570" t="s">
        <v>1799</v>
      </c>
      <c r="O570" s="184" t="str">
        <f>"["&amp;$C570&amp;"]["&amp;$D570&amp;"]["&amp;$F570&amp;"]"</f>
        <v>[S08_ActivityDataIssuesDetail][5][NumberOfInstallationsConEst]</v>
      </c>
    </row>
    <row r="571" spans="1:15" x14ac:dyDescent="0.3">
      <c r="A571" t="s">
        <v>1793</v>
      </c>
      <c r="B571" t="s">
        <v>2108</v>
      </c>
      <c r="C571" t="s">
        <v>2109</v>
      </c>
      <c r="D571">
        <v>6</v>
      </c>
      <c r="E571" t="s">
        <v>1447</v>
      </c>
      <c r="F571" t="s">
        <v>2106</v>
      </c>
      <c r="G571" t="s">
        <v>1811</v>
      </c>
      <c r="H571" t="s">
        <v>1799</v>
      </c>
      <c r="I571">
        <v>0</v>
      </c>
      <c r="J571" t="s">
        <v>1799</v>
      </c>
      <c r="K571" t="s">
        <v>1799</v>
      </c>
      <c r="L571" t="s">
        <v>1799</v>
      </c>
      <c r="M571" t="s">
        <v>1799</v>
      </c>
      <c r="N571" t="s">
        <v>1799</v>
      </c>
      <c r="O571" s="184" t="str">
        <f>"["&amp;$C571&amp;"]["&amp;$D571&amp;"]["&amp;$F571&amp;"]"</f>
        <v>[S08_ActivityDataIssuesDetail][6][NumberOfInstallationsConEst]</v>
      </c>
    </row>
    <row r="572" spans="1:15" x14ac:dyDescent="0.3">
      <c r="A572" t="s">
        <v>1793</v>
      </c>
      <c r="B572" t="s">
        <v>2108</v>
      </c>
      <c r="C572" t="s">
        <v>2109</v>
      </c>
      <c r="D572">
        <v>7</v>
      </c>
      <c r="E572" t="s">
        <v>1447</v>
      </c>
      <c r="F572" t="s">
        <v>2106</v>
      </c>
      <c r="G572" t="s">
        <v>1811</v>
      </c>
      <c r="H572" t="s">
        <v>1799</v>
      </c>
      <c r="I572">
        <v>0</v>
      </c>
      <c r="J572" t="s">
        <v>1799</v>
      </c>
      <c r="K572" t="s">
        <v>1799</v>
      </c>
      <c r="L572" t="s">
        <v>1799</v>
      </c>
      <c r="M572" t="s">
        <v>1799</v>
      </c>
      <c r="N572" t="s">
        <v>1799</v>
      </c>
      <c r="O572" s="184" t="str">
        <f>"["&amp;$C572&amp;"]["&amp;$D572&amp;"]["&amp;$F572&amp;"]"</f>
        <v>[S08_ActivityDataIssuesDetail][7][NumberOfInstallationsConEst]</v>
      </c>
    </row>
    <row r="573" spans="1:15" x14ac:dyDescent="0.3">
      <c r="A573" t="s">
        <v>1793</v>
      </c>
      <c r="B573" t="s">
        <v>2110</v>
      </c>
      <c r="C573" t="s">
        <v>2111</v>
      </c>
      <c r="D573">
        <v>0</v>
      </c>
      <c r="E573" t="s">
        <v>1447</v>
      </c>
      <c r="F573" t="s">
        <v>2111</v>
      </c>
      <c r="G573" t="s">
        <v>1829</v>
      </c>
      <c r="H573" t="s">
        <v>1799</v>
      </c>
      <c r="I573" t="s">
        <v>1799</v>
      </c>
      <c r="J573" t="s">
        <v>1799</v>
      </c>
      <c r="K573" t="s">
        <v>1799</v>
      </c>
      <c r="L573" t="s">
        <v>1419</v>
      </c>
      <c r="M573" t="s">
        <v>1799</v>
      </c>
      <c r="N573" t="s">
        <v>1799</v>
      </c>
      <c r="O573" s="184" t="str">
        <f>"["&amp;$C573&amp;"]["&amp;$D573&amp;"]["&amp;$F573&amp;"]"</f>
        <v>[ActivityReportRejected][0][ActivityReportRejected]</v>
      </c>
    </row>
    <row r="574" spans="1:15" x14ac:dyDescent="0.3">
      <c r="A574" t="s">
        <v>1793</v>
      </c>
      <c r="B574" t="s">
        <v>2110</v>
      </c>
      <c r="C574" t="s">
        <v>2112</v>
      </c>
      <c r="D574">
        <v>1</v>
      </c>
      <c r="E574" t="s">
        <v>1447</v>
      </c>
      <c r="F574" t="s">
        <v>2113</v>
      </c>
      <c r="G574" t="s">
        <v>1811</v>
      </c>
      <c r="H574" t="s">
        <v>1799</v>
      </c>
      <c r="I574">
        <v>0</v>
      </c>
      <c r="J574" t="s">
        <v>1799</v>
      </c>
      <c r="K574" t="s">
        <v>1799</v>
      </c>
      <c r="L574" t="s">
        <v>1799</v>
      </c>
      <c r="M574" t="s">
        <v>1799</v>
      </c>
      <c r="N574" t="s">
        <v>1799</v>
      </c>
      <c r="O574" s="184" t="str">
        <f>"["&amp;$C574&amp;"]["&amp;$D574&amp;"]["&amp;$F574&amp;"]"</f>
        <v>[S08_ActivityReportRejectedDetail][1][NumberActivityReportRejected]</v>
      </c>
    </row>
    <row r="575" spans="1:15" x14ac:dyDescent="0.3">
      <c r="A575" t="s">
        <v>1793</v>
      </c>
      <c r="B575" t="s">
        <v>2110</v>
      </c>
      <c r="C575" t="s">
        <v>2112</v>
      </c>
      <c r="D575">
        <v>2</v>
      </c>
      <c r="E575" t="s">
        <v>1447</v>
      </c>
      <c r="F575" t="s">
        <v>2113</v>
      </c>
      <c r="G575" t="s">
        <v>1811</v>
      </c>
      <c r="H575" t="s">
        <v>1799</v>
      </c>
      <c r="I575">
        <v>18</v>
      </c>
      <c r="J575" t="s">
        <v>1799</v>
      </c>
      <c r="K575" t="s">
        <v>1799</v>
      </c>
      <c r="L575" t="s">
        <v>1799</v>
      </c>
      <c r="M575" t="s">
        <v>1799</v>
      </c>
      <c r="N575" t="s">
        <v>1799</v>
      </c>
      <c r="O575" s="184" t="str">
        <f>"["&amp;$C575&amp;"]["&amp;$D575&amp;"]["&amp;$F575&amp;"]"</f>
        <v>[S08_ActivityReportRejectedDetail][2][NumberActivityReportRejected]</v>
      </c>
    </row>
    <row r="576" spans="1:15" x14ac:dyDescent="0.3">
      <c r="A576" t="s">
        <v>1793</v>
      </c>
      <c r="B576" t="s">
        <v>2110</v>
      </c>
      <c r="C576" t="s">
        <v>2112</v>
      </c>
      <c r="D576">
        <v>2</v>
      </c>
      <c r="E576" t="s">
        <v>1447</v>
      </c>
      <c r="F576" t="s">
        <v>2114</v>
      </c>
      <c r="G576" t="s">
        <v>1862</v>
      </c>
      <c r="H576" t="s">
        <v>1799</v>
      </c>
      <c r="I576" t="s">
        <v>1799</v>
      </c>
      <c r="J576" t="s">
        <v>1799</v>
      </c>
      <c r="K576" t="s">
        <v>2115</v>
      </c>
      <c r="L576" t="s">
        <v>1799</v>
      </c>
      <c r="M576" t="s">
        <v>1799</v>
      </c>
      <c r="N576" t="s">
        <v>1799</v>
      </c>
      <c r="O576" s="184" t="str">
        <f>"["&amp;$C576&amp;"]["&amp;$D576&amp;"]["&amp;$F576&amp;"]"</f>
        <v>[S08_ActivityReportRejectedDetail][2][ReasonForRejection]</v>
      </c>
    </row>
    <row r="577" spans="1:15" x14ac:dyDescent="0.3">
      <c r="A577" t="s">
        <v>1793</v>
      </c>
      <c r="B577" t="s">
        <v>2110</v>
      </c>
      <c r="C577" t="s">
        <v>2112</v>
      </c>
      <c r="D577">
        <v>3</v>
      </c>
      <c r="E577" t="s">
        <v>1447</v>
      </c>
      <c r="F577" t="s">
        <v>2052</v>
      </c>
      <c r="G577" t="s">
        <v>1797</v>
      </c>
      <c r="H577" t="s">
        <v>2116</v>
      </c>
      <c r="I577" t="s">
        <v>1799</v>
      </c>
      <c r="J577" t="s">
        <v>1799</v>
      </c>
      <c r="K577" t="s">
        <v>1799</v>
      </c>
      <c r="L577" t="s">
        <v>1799</v>
      </c>
      <c r="M577" t="s">
        <v>1799</v>
      </c>
      <c r="N577" t="s">
        <v>1799</v>
      </c>
      <c r="O577" s="184" t="str">
        <f>"["&amp;$C577&amp;"]["&amp;$D577&amp;"]["&amp;$F577&amp;"]"</f>
        <v>[S08_ActivityReportRejectedDetail][3][ActionsTaken]</v>
      </c>
    </row>
    <row r="578" spans="1:15" x14ac:dyDescent="0.3">
      <c r="A578" t="s">
        <v>1793</v>
      </c>
      <c r="B578" t="s">
        <v>2110</v>
      </c>
      <c r="C578" t="s">
        <v>2112</v>
      </c>
      <c r="D578">
        <v>4</v>
      </c>
      <c r="E578" t="s">
        <v>1419</v>
      </c>
      <c r="F578" t="s">
        <v>2052</v>
      </c>
      <c r="G578" t="s">
        <v>1862</v>
      </c>
      <c r="H578" t="s">
        <v>1799</v>
      </c>
      <c r="I578" t="s">
        <v>1799</v>
      </c>
      <c r="J578" t="s">
        <v>1799</v>
      </c>
      <c r="K578" t="s">
        <v>2117</v>
      </c>
      <c r="L578" t="s">
        <v>1799</v>
      </c>
      <c r="M578" t="s">
        <v>1799</v>
      </c>
      <c r="N578" t="s">
        <v>1799</v>
      </c>
      <c r="O578" s="184" t="str">
        <f>"["&amp;$C578&amp;"]["&amp;$D578&amp;"]["&amp;$F578&amp;"]"</f>
        <v>[S08_ActivityReportRejectedDetail][4][ActionsTaken]</v>
      </c>
    </row>
    <row r="579" spans="1:15" x14ac:dyDescent="0.3">
      <c r="A579" t="s">
        <v>1793</v>
      </c>
      <c r="B579" t="s">
        <v>2118</v>
      </c>
      <c r="C579" t="s">
        <v>2119</v>
      </c>
      <c r="D579">
        <v>0</v>
      </c>
      <c r="E579" t="s">
        <v>1447</v>
      </c>
      <c r="F579" t="s">
        <v>2119</v>
      </c>
      <c r="G579" t="s">
        <v>1829</v>
      </c>
      <c r="H579" t="s">
        <v>1799</v>
      </c>
      <c r="I579" t="s">
        <v>1799</v>
      </c>
      <c r="J579" t="s">
        <v>1799</v>
      </c>
      <c r="K579" t="s">
        <v>1799</v>
      </c>
      <c r="L579" t="s">
        <v>1447</v>
      </c>
      <c r="M579" t="s">
        <v>1799</v>
      </c>
      <c r="N579" t="s">
        <v>1799</v>
      </c>
      <c r="O579" s="184" t="str">
        <f>"["&amp;$C579&amp;"]["&amp;$D579&amp;"]["&amp;$F579&amp;"]"</f>
        <v>[ActivityLevelVisitsWaived][0][ActivityLevelVisitsWaived]</v>
      </c>
    </row>
    <row r="580" spans="1:15" x14ac:dyDescent="0.3">
      <c r="A580" t="s">
        <v>1793</v>
      </c>
      <c r="B580" t="s">
        <v>2120</v>
      </c>
      <c r="C580" t="s">
        <v>2121</v>
      </c>
      <c r="D580">
        <v>0</v>
      </c>
      <c r="E580" t="s">
        <v>1447</v>
      </c>
      <c r="F580" t="s">
        <v>2121</v>
      </c>
      <c r="G580" t="s">
        <v>1829</v>
      </c>
      <c r="H580" t="s">
        <v>1799</v>
      </c>
      <c r="I580" t="s">
        <v>1799</v>
      </c>
      <c r="J580" t="s">
        <v>1799</v>
      </c>
      <c r="K580" t="s">
        <v>1799</v>
      </c>
      <c r="L580" t="s">
        <v>1419</v>
      </c>
      <c r="M580" t="s">
        <v>1799</v>
      </c>
      <c r="N580" t="s">
        <v>1799</v>
      </c>
      <c r="O580" s="184" t="str">
        <f>"["&amp;$C580&amp;"]["&amp;$D580&amp;"]["&amp;$F580&amp;"]"</f>
        <v>[VirtualVisitsActivityLevel][0][VirtualVisitsActivityLevel]</v>
      </c>
    </row>
    <row r="581" spans="1:15" x14ac:dyDescent="0.3">
      <c r="A581" t="s">
        <v>1793</v>
      </c>
      <c r="B581" t="s">
        <v>2120</v>
      </c>
      <c r="C581" t="s">
        <v>2122</v>
      </c>
      <c r="D581">
        <v>1</v>
      </c>
      <c r="E581" t="s">
        <v>1447</v>
      </c>
      <c r="F581" t="s">
        <v>2060</v>
      </c>
      <c r="G581" t="s">
        <v>1797</v>
      </c>
      <c r="H581" t="s">
        <v>2061</v>
      </c>
      <c r="I581" t="s">
        <v>1799</v>
      </c>
      <c r="J581" t="s">
        <v>1799</v>
      </c>
      <c r="K581" t="s">
        <v>1799</v>
      </c>
      <c r="L581" t="s">
        <v>1799</v>
      </c>
      <c r="M581" t="s">
        <v>1799</v>
      </c>
      <c r="N581" t="s">
        <v>1799</v>
      </c>
      <c r="O581" s="184" t="str">
        <f>"["&amp;$C581&amp;"]["&amp;$D581&amp;"]["&amp;$F581&amp;"]"</f>
        <v>[S08_VirtualVisitsActivityLevelDetail][1][TypeForceMajeur]</v>
      </c>
    </row>
    <row r="582" spans="1:15" x14ac:dyDescent="0.3">
      <c r="A582" t="s">
        <v>1793</v>
      </c>
      <c r="B582" t="s">
        <v>2120</v>
      </c>
      <c r="C582" t="s">
        <v>2122</v>
      </c>
      <c r="D582">
        <v>1</v>
      </c>
      <c r="E582" t="s">
        <v>1447</v>
      </c>
      <c r="F582" t="s">
        <v>2062</v>
      </c>
      <c r="G582" t="s">
        <v>1811</v>
      </c>
      <c r="H582" t="s">
        <v>1799</v>
      </c>
      <c r="I582">
        <v>4</v>
      </c>
      <c r="J582" t="s">
        <v>1799</v>
      </c>
      <c r="K582" t="s">
        <v>1799</v>
      </c>
      <c r="L582" t="s">
        <v>1799</v>
      </c>
      <c r="M582" t="s">
        <v>1799</v>
      </c>
      <c r="N582" t="s">
        <v>1799</v>
      </c>
      <c r="O582" s="184" t="str">
        <f>"["&amp;$C582&amp;"]["&amp;$D582&amp;"]["&amp;$F582&amp;"]"</f>
        <v>[S08_VirtualVisitsActivityLevelDetail][1][NumberOfInstallationsVV]</v>
      </c>
    </row>
    <row r="583" spans="1:15" x14ac:dyDescent="0.3">
      <c r="A583" t="s">
        <v>1793</v>
      </c>
      <c r="B583" t="s">
        <v>2120</v>
      </c>
      <c r="C583" t="s">
        <v>2122</v>
      </c>
      <c r="D583">
        <v>1</v>
      </c>
      <c r="E583" t="s">
        <v>1447</v>
      </c>
      <c r="F583" t="s">
        <v>2063</v>
      </c>
      <c r="G583" t="s">
        <v>1737</v>
      </c>
      <c r="H583" t="s">
        <v>1799</v>
      </c>
      <c r="I583" t="s">
        <v>1799</v>
      </c>
      <c r="J583" t="s">
        <v>1799</v>
      </c>
      <c r="K583" t="s">
        <v>1799</v>
      </c>
      <c r="L583" t="s">
        <v>1442</v>
      </c>
      <c r="M583" t="s">
        <v>1799</v>
      </c>
      <c r="N583" t="s">
        <v>1799</v>
      </c>
      <c r="O583" s="184" t="str">
        <f>"["&amp;$C583&amp;"]["&amp;$D583&amp;"]["&amp;$F583&amp;"]"</f>
        <v>[S08_VirtualVisitsActivityLevelDetail][1][AuthorityApproval]</v>
      </c>
    </row>
    <row r="584" spans="1:15" x14ac:dyDescent="0.3">
      <c r="A584" t="s">
        <v>1793</v>
      </c>
      <c r="B584" t="s">
        <v>2120</v>
      </c>
      <c r="C584" t="s">
        <v>2122</v>
      </c>
      <c r="D584">
        <v>1</v>
      </c>
      <c r="E584" t="s">
        <v>1447</v>
      </c>
      <c r="F584" t="s">
        <v>2064</v>
      </c>
      <c r="G584" t="s">
        <v>1797</v>
      </c>
      <c r="H584" t="s">
        <v>1419</v>
      </c>
      <c r="I584" t="s">
        <v>1799</v>
      </c>
      <c r="J584" t="s">
        <v>1799</v>
      </c>
      <c r="K584" t="s">
        <v>1799</v>
      </c>
      <c r="L584" t="s">
        <v>1799</v>
      </c>
      <c r="M584" t="s">
        <v>1799</v>
      </c>
      <c r="N584" t="s">
        <v>1799</v>
      </c>
      <c r="O584" s="184" t="str">
        <f>"["&amp;$C584&amp;"]["&amp;$D584&amp;"]["&amp;$F584&amp;"]"</f>
        <v>[S08_VirtualVisitsActivityLevelDetail][1][ConfirmationConditionsMet]</v>
      </c>
    </row>
    <row r="585" spans="1:15" x14ac:dyDescent="0.3">
      <c r="A585" t="s">
        <v>1793</v>
      </c>
      <c r="B585" t="s">
        <v>2123</v>
      </c>
      <c r="C585" t="s">
        <v>2124</v>
      </c>
      <c r="D585">
        <v>1</v>
      </c>
      <c r="E585" t="s">
        <v>1447</v>
      </c>
      <c r="F585" t="s">
        <v>2125</v>
      </c>
      <c r="G585" t="s">
        <v>1913</v>
      </c>
      <c r="H585" t="s">
        <v>1799</v>
      </c>
      <c r="I585" t="s">
        <v>1799</v>
      </c>
      <c r="J585">
        <v>32000</v>
      </c>
      <c r="K585" t="s">
        <v>1799</v>
      </c>
      <c r="L585" t="s">
        <v>1799</v>
      </c>
      <c r="M585" t="s">
        <v>1799</v>
      </c>
      <c r="N585" t="s">
        <v>1799</v>
      </c>
      <c r="O585" s="184" t="str">
        <f>"["&amp;$C585&amp;"]["&amp;$D585&amp;"]["&amp;$F585&amp;"]"</f>
        <v>[S08_PenaltiesAllocation][1][MaxFine]</v>
      </c>
    </row>
    <row r="586" spans="1:15" x14ac:dyDescent="0.3">
      <c r="A586" t="s">
        <v>1793</v>
      </c>
      <c r="B586" t="s">
        <v>2123</v>
      </c>
      <c r="C586" t="s">
        <v>2124</v>
      </c>
      <c r="D586">
        <v>2</v>
      </c>
      <c r="E586" t="s">
        <v>1447</v>
      </c>
      <c r="F586" t="s">
        <v>2125</v>
      </c>
      <c r="G586" t="s">
        <v>1913</v>
      </c>
      <c r="H586" t="s">
        <v>1799</v>
      </c>
      <c r="I586" t="s">
        <v>1799</v>
      </c>
      <c r="J586">
        <v>32000</v>
      </c>
      <c r="K586" t="s">
        <v>1799</v>
      </c>
      <c r="L586" t="s">
        <v>1799</v>
      </c>
      <c r="M586" t="s">
        <v>1799</v>
      </c>
      <c r="N586" t="s">
        <v>1799</v>
      </c>
      <c r="O586" s="184" t="str">
        <f>"["&amp;$C586&amp;"]["&amp;$D586&amp;"]["&amp;$F586&amp;"]"</f>
        <v>[S08_PenaltiesAllocation][2][MaxFine]</v>
      </c>
    </row>
    <row r="587" spans="1:15" x14ac:dyDescent="0.3">
      <c r="A587" t="s">
        <v>1793</v>
      </c>
      <c r="B587" t="s">
        <v>2123</v>
      </c>
      <c r="C587" t="s">
        <v>2124</v>
      </c>
      <c r="D587">
        <v>3</v>
      </c>
      <c r="E587" t="s">
        <v>1447</v>
      </c>
      <c r="F587" t="s">
        <v>2125</v>
      </c>
      <c r="G587" t="s">
        <v>1913</v>
      </c>
      <c r="H587" t="s">
        <v>1799</v>
      </c>
      <c r="I587" t="s">
        <v>1799</v>
      </c>
      <c r="J587">
        <v>32000</v>
      </c>
      <c r="K587" t="s">
        <v>1799</v>
      </c>
      <c r="L587" t="s">
        <v>1799</v>
      </c>
      <c r="M587" t="s">
        <v>1799</v>
      </c>
      <c r="N587" t="s">
        <v>1799</v>
      </c>
      <c r="O587" s="184" t="str">
        <f>"["&amp;$C587&amp;"]["&amp;$D587&amp;"]["&amp;$F587&amp;"]"</f>
        <v>[S08_PenaltiesAllocation][3][MaxFine]</v>
      </c>
    </row>
    <row r="588" spans="1:15" x14ac:dyDescent="0.3">
      <c r="A588" t="s">
        <v>1793</v>
      </c>
      <c r="B588" t="s">
        <v>2123</v>
      </c>
      <c r="C588" t="s">
        <v>2124</v>
      </c>
      <c r="D588">
        <v>4</v>
      </c>
      <c r="E588" t="s">
        <v>1447</v>
      </c>
      <c r="F588" t="s">
        <v>2125</v>
      </c>
      <c r="G588" t="s">
        <v>1913</v>
      </c>
      <c r="H588" t="s">
        <v>1799</v>
      </c>
      <c r="I588" t="s">
        <v>1799</v>
      </c>
      <c r="J588">
        <v>32000</v>
      </c>
      <c r="K588" t="s">
        <v>1799</v>
      </c>
      <c r="L588" t="s">
        <v>1799</v>
      </c>
      <c r="M588" t="s">
        <v>1799</v>
      </c>
      <c r="N588" t="s">
        <v>1799</v>
      </c>
      <c r="O588" s="184" t="str">
        <f>"["&amp;$C588&amp;"]["&amp;$D588&amp;"]["&amp;$F588&amp;"]"</f>
        <v>[S08_PenaltiesAllocation][4][MaxFine]</v>
      </c>
    </row>
    <row r="589" spans="1:15" x14ac:dyDescent="0.3">
      <c r="A589" t="s">
        <v>1793</v>
      </c>
      <c r="B589" t="s">
        <v>2126</v>
      </c>
      <c r="C589" t="s">
        <v>2127</v>
      </c>
      <c r="D589">
        <v>0</v>
      </c>
      <c r="E589" t="s">
        <v>1447</v>
      </c>
      <c r="F589" t="s">
        <v>2127</v>
      </c>
      <c r="G589" t="s">
        <v>1829</v>
      </c>
      <c r="H589" t="s">
        <v>1799</v>
      </c>
      <c r="I589" t="s">
        <v>1799</v>
      </c>
      <c r="J589" t="s">
        <v>1799</v>
      </c>
      <c r="K589" t="s">
        <v>1799</v>
      </c>
      <c r="L589" t="s">
        <v>1447</v>
      </c>
      <c r="M589" t="s">
        <v>1799</v>
      </c>
      <c r="N589" t="s">
        <v>1799</v>
      </c>
      <c r="O589" s="184" t="str">
        <f>"["&amp;$C589&amp;"]["&amp;$D589&amp;"]["&amp;$F589&amp;"]"</f>
        <v>[PriorPenaltiesEnforced][0][PriorPenaltiesEnforced]</v>
      </c>
    </row>
    <row r="590" spans="1:15" x14ac:dyDescent="0.3">
      <c r="A590" t="s">
        <v>1793</v>
      </c>
      <c r="B590" t="s">
        <v>2128</v>
      </c>
      <c r="C590" t="s">
        <v>2129</v>
      </c>
      <c r="D590">
        <v>0</v>
      </c>
      <c r="E590" t="s">
        <v>1447</v>
      </c>
      <c r="F590" t="s">
        <v>2129</v>
      </c>
      <c r="G590" t="s">
        <v>1829</v>
      </c>
      <c r="H590" t="s">
        <v>1799</v>
      </c>
      <c r="I590" t="s">
        <v>1799</v>
      </c>
      <c r="J590" t="s">
        <v>1799</v>
      </c>
      <c r="K590" t="s">
        <v>1799</v>
      </c>
      <c r="L590" t="s">
        <v>1447</v>
      </c>
      <c r="M590" t="s">
        <v>1799</v>
      </c>
      <c r="N590" t="s">
        <v>1799</v>
      </c>
      <c r="O590" s="184" t="str">
        <f>"["&amp;$C590&amp;"]["&amp;$D590&amp;"]["&amp;$F590&amp;"]"</f>
        <v>[InstallationOperatorFees][0][InstallationOperatorFees]</v>
      </c>
    </row>
    <row r="591" spans="1:15" x14ac:dyDescent="0.3">
      <c r="A591" t="s">
        <v>1793</v>
      </c>
      <c r="B591" t="s">
        <v>2130</v>
      </c>
      <c r="C591" t="s">
        <v>2131</v>
      </c>
      <c r="D591">
        <v>0</v>
      </c>
      <c r="E591" t="s">
        <v>1447</v>
      </c>
      <c r="F591" t="s">
        <v>2131</v>
      </c>
      <c r="G591" t="s">
        <v>1829</v>
      </c>
      <c r="H591" t="s">
        <v>1799</v>
      </c>
      <c r="I591" t="s">
        <v>1799</v>
      </c>
      <c r="J591" t="s">
        <v>1799</v>
      </c>
      <c r="K591" t="s">
        <v>1799</v>
      </c>
      <c r="L591" t="s">
        <v>1447</v>
      </c>
      <c r="M591" t="s">
        <v>1799</v>
      </c>
      <c r="N591" t="s">
        <v>1799</v>
      </c>
      <c r="O591" s="184" t="str">
        <f>"["&amp;$C591&amp;"]["&amp;$D591&amp;"]["&amp;$F591&amp;"]"</f>
        <v>[AircraftOperatorFees][0][AircraftOperatorFees]</v>
      </c>
    </row>
    <row r="592" spans="1:15" x14ac:dyDescent="0.3">
      <c r="A592" t="s">
        <v>1793</v>
      </c>
      <c r="B592" t="s">
        <v>2130</v>
      </c>
      <c r="C592" t="s">
        <v>2132</v>
      </c>
      <c r="D592">
        <v>1</v>
      </c>
      <c r="E592" t="s">
        <v>1447</v>
      </c>
      <c r="F592" t="s">
        <v>2133</v>
      </c>
      <c r="G592" t="s">
        <v>1797</v>
      </c>
      <c r="H592" t="s">
        <v>2134</v>
      </c>
      <c r="I592" t="s">
        <v>1799</v>
      </c>
      <c r="J592" t="s">
        <v>1799</v>
      </c>
      <c r="K592" t="s">
        <v>1799</v>
      </c>
      <c r="L592" t="s">
        <v>1799</v>
      </c>
      <c r="M592" t="s">
        <v>1799</v>
      </c>
      <c r="N592" t="s">
        <v>1799</v>
      </c>
      <c r="O592" s="184" t="str">
        <f>"["&amp;$C592&amp;"]["&amp;$D592&amp;"]["&amp;$F592&amp;"]"</f>
        <v>[S09_RegistryAccountOneOffFees][1][OneOffFeeReason]</v>
      </c>
    </row>
    <row r="593" spans="1:15" x14ac:dyDescent="0.3">
      <c r="A593" t="s">
        <v>1793</v>
      </c>
      <c r="B593" t="s">
        <v>2130</v>
      </c>
      <c r="C593" t="s">
        <v>2132</v>
      </c>
      <c r="D593">
        <v>1</v>
      </c>
      <c r="E593" t="s">
        <v>1447</v>
      </c>
      <c r="F593" t="s">
        <v>2135</v>
      </c>
      <c r="G593" t="s">
        <v>1913</v>
      </c>
      <c r="H593" t="s">
        <v>1799</v>
      </c>
      <c r="I593" t="s">
        <v>1799</v>
      </c>
      <c r="J593">
        <v>300</v>
      </c>
      <c r="K593" t="s">
        <v>1799</v>
      </c>
      <c r="L593" t="s">
        <v>1799</v>
      </c>
      <c r="M593" t="s">
        <v>1799</v>
      </c>
      <c r="N593" t="s">
        <v>1799</v>
      </c>
      <c r="O593" s="184" t="str">
        <f>"["&amp;$C593&amp;"]["&amp;$D593&amp;"]["&amp;$F593&amp;"]"</f>
        <v>[S09_RegistryAccountOneOffFees][1][OneOffFeeAmount]</v>
      </c>
    </row>
    <row r="594" spans="1:15" x14ac:dyDescent="0.3">
      <c r="A594" t="s">
        <v>1793</v>
      </c>
      <c r="B594" t="s">
        <v>2130</v>
      </c>
      <c r="C594" t="s">
        <v>2136</v>
      </c>
      <c r="D594">
        <v>1</v>
      </c>
      <c r="E594" t="s">
        <v>1447</v>
      </c>
      <c r="F594" t="s">
        <v>2137</v>
      </c>
      <c r="G594" t="s">
        <v>1797</v>
      </c>
      <c r="H594" t="s">
        <v>2138</v>
      </c>
      <c r="I594" t="s">
        <v>1799</v>
      </c>
      <c r="J594" t="s">
        <v>1799</v>
      </c>
      <c r="K594" t="s">
        <v>1799</v>
      </c>
      <c r="L594" t="s">
        <v>1799</v>
      </c>
      <c r="M594" t="s">
        <v>1799</v>
      </c>
      <c r="N594" t="s">
        <v>1799</v>
      </c>
      <c r="O594" s="184" t="str">
        <f>"["&amp;$C594&amp;"]["&amp;$D594&amp;"]["&amp;$F594&amp;"]"</f>
        <v>[S09_RegistryAccountAnnualFees][1][AnnualFeeReason]</v>
      </c>
    </row>
    <row r="595" spans="1:15" x14ac:dyDescent="0.3">
      <c r="A595" t="s">
        <v>1793</v>
      </c>
      <c r="B595" t="s">
        <v>2130</v>
      </c>
      <c r="C595" t="s">
        <v>2136</v>
      </c>
      <c r="D595">
        <v>1</v>
      </c>
      <c r="E595" t="s">
        <v>1447</v>
      </c>
      <c r="F595" t="s">
        <v>2139</v>
      </c>
      <c r="G595" t="s">
        <v>1913</v>
      </c>
      <c r="H595" t="s">
        <v>1799</v>
      </c>
      <c r="I595" t="s">
        <v>1799</v>
      </c>
      <c r="J595">
        <v>320</v>
      </c>
      <c r="K595" t="s">
        <v>1799</v>
      </c>
      <c r="L595" t="s">
        <v>1799</v>
      </c>
      <c r="M595" t="s">
        <v>1799</v>
      </c>
      <c r="N595" t="s">
        <v>1799</v>
      </c>
      <c r="O595" s="184" t="str">
        <f>"["&amp;$C595&amp;"]["&amp;$D595&amp;"]["&amp;$F595&amp;"]"</f>
        <v>[S09_RegistryAccountAnnualFees][1][AnnualFeeAmount]</v>
      </c>
    </row>
    <row r="596" spans="1:15" x14ac:dyDescent="0.3">
      <c r="A596" t="s">
        <v>1793</v>
      </c>
      <c r="B596" t="s">
        <v>2140</v>
      </c>
      <c r="C596" t="s">
        <v>2141</v>
      </c>
      <c r="D596">
        <v>1</v>
      </c>
      <c r="E596" t="s">
        <v>1447</v>
      </c>
      <c r="F596" t="s">
        <v>2142</v>
      </c>
      <c r="G596" t="s">
        <v>1829</v>
      </c>
      <c r="H596" t="s">
        <v>1799</v>
      </c>
      <c r="I596" t="s">
        <v>1799</v>
      </c>
      <c r="J596" t="s">
        <v>1799</v>
      </c>
      <c r="K596" t="s">
        <v>1799</v>
      </c>
      <c r="L596" t="s">
        <v>1447</v>
      </c>
      <c r="M596" t="s">
        <v>1799</v>
      </c>
      <c r="N596" t="s">
        <v>1799</v>
      </c>
      <c r="O596" s="184" t="str">
        <f>"["&amp;$C596&amp;"]["&amp;$D596&amp;"]["&amp;$F596&amp;"]"</f>
        <v>[S10_InstallationsComplianceMeasures][1][ComplianceMeasuresYesNo]</v>
      </c>
    </row>
    <row r="597" spans="1:15" x14ac:dyDescent="0.3">
      <c r="A597" t="s">
        <v>1793</v>
      </c>
      <c r="B597" t="s">
        <v>2140</v>
      </c>
      <c r="C597" t="s">
        <v>2141</v>
      </c>
      <c r="D597">
        <v>2</v>
      </c>
      <c r="E597" t="s">
        <v>1447</v>
      </c>
      <c r="F597" t="s">
        <v>2142</v>
      </c>
      <c r="G597" t="s">
        <v>1829</v>
      </c>
      <c r="H597" t="s">
        <v>1799</v>
      </c>
      <c r="I597" t="s">
        <v>1799</v>
      </c>
      <c r="J597" t="s">
        <v>1799</v>
      </c>
      <c r="K597" t="s">
        <v>1799</v>
      </c>
      <c r="L597" t="s">
        <v>1447</v>
      </c>
      <c r="M597" t="s">
        <v>1799</v>
      </c>
      <c r="N597" t="s">
        <v>1799</v>
      </c>
      <c r="O597" s="184" t="str">
        <f>"["&amp;$C597&amp;"]["&amp;$D597&amp;"]["&amp;$F597&amp;"]"</f>
        <v>[S10_InstallationsComplianceMeasures][2][ComplianceMeasuresYesNo]</v>
      </c>
    </row>
    <row r="598" spans="1:15" x14ac:dyDescent="0.3">
      <c r="A598" t="s">
        <v>1793</v>
      </c>
      <c r="B598" t="s">
        <v>2140</v>
      </c>
      <c r="C598" t="s">
        <v>2141</v>
      </c>
      <c r="D598">
        <v>3</v>
      </c>
      <c r="E598" t="s">
        <v>1447</v>
      </c>
      <c r="F598" t="s">
        <v>2142</v>
      </c>
      <c r="G598" t="s">
        <v>1829</v>
      </c>
      <c r="H598" t="s">
        <v>1799</v>
      </c>
      <c r="I598" t="s">
        <v>1799</v>
      </c>
      <c r="J598" t="s">
        <v>1799</v>
      </c>
      <c r="K598" t="s">
        <v>1799</v>
      </c>
      <c r="L598" t="s">
        <v>1419</v>
      </c>
      <c r="M598" t="s">
        <v>1799</v>
      </c>
      <c r="N598" t="s">
        <v>1799</v>
      </c>
      <c r="O598" s="184" t="str">
        <f>"["&amp;$C598&amp;"]["&amp;$D598&amp;"]["&amp;$F598&amp;"]"</f>
        <v>[S10_InstallationsComplianceMeasures][3][ComplianceMeasuresYesNo]</v>
      </c>
    </row>
    <row r="599" spans="1:15" x14ac:dyDescent="0.3">
      <c r="A599" t="s">
        <v>1793</v>
      </c>
      <c r="B599" t="s">
        <v>2140</v>
      </c>
      <c r="C599" t="s">
        <v>2141</v>
      </c>
      <c r="D599">
        <v>4</v>
      </c>
      <c r="E599" t="s">
        <v>1447</v>
      </c>
      <c r="F599" t="s">
        <v>2142</v>
      </c>
      <c r="G599" t="s">
        <v>1829</v>
      </c>
      <c r="H599" t="s">
        <v>1799</v>
      </c>
      <c r="I599" t="s">
        <v>1799</v>
      </c>
      <c r="J599" t="s">
        <v>1799</v>
      </c>
      <c r="K599" t="s">
        <v>1799</v>
      </c>
      <c r="L599" t="s">
        <v>1447</v>
      </c>
      <c r="M599" t="s">
        <v>1799</v>
      </c>
      <c r="N599" t="s">
        <v>1799</v>
      </c>
      <c r="O599" s="184" t="str">
        <f>"["&amp;$C599&amp;"]["&amp;$D599&amp;"]["&amp;$F599&amp;"]"</f>
        <v>[S10_InstallationsComplianceMeasures][4][ComplianceMeasuresYesNo]</v>
      </c>
    </row>
    <row r="600" spans="1:15" x14ac:dyDescent="0.3">
      <c r="A600" t="s">
        <v>1793</v>
      </c>
      <c r="B600" t="s">
        <v>2140</v>
      </c>
      <c r="C600" t="s">
        <v>2141</v>
      </c>
      <c r="D600">
        <v>1</v>
      </c>
      <c r="E600" t="s">
        <v>1447</v>
      </c>
      <c r="F600" t="s">
        <v>2143</v>
      </c>
      <c r="G600" t="s">
        <v>1862</v>
      </c>
      <c r="H600" t="s">
        <v>1799</v>
      </c>
      <c r="I600" t="s">
        <v>1799</v>
      </c>
      <c r="J600" t="s">
        <v>1799</v>
      </c>
      <c r="K600" t="s">
        <v>2144</v>
      </c>
      <c r="L600" t="s">
        <v>1799</v>
      </c>
      <c r="M600" t="s">
        <v>1799</v>
      </c>
      <c r="N600" t="s">
        <v>1799</v>
      </c>
      <c r="O600" s="184" t="str">
        <f>"["&amp;$C600&amp;"]["&amp;$D600&amp;"]["&amp;$F600&amp;"]"</f>
        <v>[S10_InstallationsComplianceMeasures][1][ComplianceMeasuresComment]</v>
      </c>
    </row>
    <row r="601" spans="1:15" x14ac:dyDescent="0.3">
      <c r="A601" t="s">
        <v>1793</v>
      </c>
      <c r="B601" t="s">
        <v>2140</v>
      </c>
      <c r="C601" t="s">
        <v>2141</v>
      </c>
      <c r="D601">
        <v>2</v>
      </c>
      <c r="E601" t="s">
        <v>1447</v>
      </c>
      <c r="F601" t="s">
        <v>2143</v>
      </c>
      <c r="G601" t="s">
        <v>1862</v>
      </c>
      <c r="H601" t="s">
        <v>1799</v>
      </c>
      <c r="I601" t="s">
        <v>1799</v>
      </c>
      <c r="J601" t="s">
        <v>1799</v>
      </c>
      <c r="K601" t="s">
        <v>2145</v>
      </c>
      <c r="L601" t="s">
        <v>1799</v>
      </c>
      <c r="M601" t="s">
        <v>1799</v>
      </c>
      <c r="N601" t="s">
        <v>1799</v>
      </c>
      <c r="O601" s="184" t="str">
        <f>"["&amp;$C601&amp;"]["&amp;$D601&amp;"]["&amp;$F601&amp;"]"</f>
        <v>[S10_InstallationsComplianceMeasures][2][ComplianceMeasuresComment]</v>
      </c>
    </row>
    <row r="602" spans="1:15" x14ac:dyDescent="0.3">
      <c r="A602" t="s">
        <v>1793</v>
      </c>
      <c r="B602" t="s">
        <v>2140</v>
      </c>
      <c r="C602" t="s">
        <v>2141</v>
      </c>
      <c r="D602">
        <v>3</v>
      </c>
      <c r="E602" t="s">
        <v>1447</v>
      </c>
      <c r="F602" t="s">
        <v>2143</v>
      </c>
      <c r="G602" t="s">
        <v>1862</v>
      </c>
      <c r="H602" t="s">
        <v>1799</v>
      </c>
      <c r="I602" t="s">
        <v>1799</v>
      </c>
      <c r="J602" t="s">
        <v>1799</v>
      </c>
      <c r="K602" t="s">
        <v>2146</v>
      </c>
      <c r="L602" t="s">
        <v>1799</v>
      </c>
      <c r="M602" t="s">
        <v>1799</v>
      </c>
      <c r="N602" t="s">
        <v>1799</v>
      </c>
      <c r="O602" s="184" t="str">
        <f>"["&amp;$C602&amp;"]["&amp;$D602&amp;"]["&amp;$F602&amp;"]"</f>
        <v>[S10_InstallationsComplianceMeasures][3][ComplianceMeasuresComment]</v>
      </c>
    </row>
    <row r="603" spans="1:15" x14ac:dyDescent="0.3">
      <c r="A603" t="s">
        <v>1793</v>
      </c>
      <c r="B603" t="s">
        <v>2147</v>
      </c>
      <c r="C603" t="s">
        <v>2148</v>
      </c>
      <c r="D603">
        <v>1</v>
      </c>
      <c r="E603" t="s">
        <v>1447</v>
      </c>
      <c r="F603" t="s">
        <v>2149</v>
      </c>
      <c r="G603" t="s">
        <v>1913</v>
      </c>
      <c r="H603" t="s">
        <v>1799</v>
      </c>
      <c r="I603" t="s">
        <v>1799</v>
      </c>
      <c r="J603">
        <v>4000</v>
      </c>
      <c r="K603" t="s">
        <v>1799</v>
      </c>
      <c r="L603" t="s">
        <v>1799</v>
      </c>
      <c r="M603" t="s">
        <v>1799</v>
      </c>
      <c r="N603" t="s">
        <v>1799</v>
      </c>
      <c r="O603" s="184" t="str">
        <f>"["&amp;$C603&amp;"]["&amp;$D603&amp;"]["&amp;$F603&amp;"]"</f>
        <v>[S10_InstallationsInfringementPenalties][1][MinFine]</v>
      </c>
    </row>
    <row r="604" spans="1:15" x14ac:dyDescent="0.3">
      <c r="A604" t="s">
        <v>1793</v>
      </c>
      <c r="B604" t="s">
        <v>2147</v>
      </c>
      <c r="C604" t="s">
        <v>2148</v>
      </c>
      <c r="D604">
        <v>2</v>
      </c>
      <c r="E604" t="s">
        <v>1447</v>
      </c>
      <c r="F604" t="s">
        <v>2149</v>
      </c>
      <c r="G604" t="s">
        <v>1913</v>
      </c>
      <c r="H604" t="s">
        <v>1799</v>
      </c>
      <c r="I604" t="s">
        <v>1799</v>
      </c>
      <c r="J604">
        <v>4000</v>
      </c>
      <c r="K604" t="s">
        <v>1799</v>
      </c>
      <c r="L604" t="s">
        <v>1799</v>
      </c>
      <c r="M604" t="s">
        <v>1799</v>
      </c>
      <c r="N604" t="s">
        <v>1799</v>
      </c>
      <c r="O604" s="184" t="str">
        <f>"["&amp;$C604&amp;"]["&amp;$D604&amp;"]["&amp;$F604&amp;"]"</f>
        <v>[S10_InstallationsInfringementPenalties][2][MinFine]</v>
      </c>
    </row>
    <row r="605" spans="1:15" x14ac:dyDescent="0.3">
      <c r="A605" t="s">
        <v>1793</v>
      </c>
      <c r="B605" t="s">
        <v>2147</v>
      </c>
      <c r="C605" t="s">
        <v>2148</v>
      </c>
      <c r="D605">
        <v>1</v>
      </c>
      <c r="E605" t="s">
        <v>1447</v>
      </c>
      <c r="F605" t="s">
        <v>2125</v>
      </c>
      <c r="G605" t="s">
        <v>1913</v>
      </c>
      <c r="H605" t="s">
        <v>1799</v>
      </c>
      <c r="I605" t="s">
        <v>1799</v>
      </c>
      <c r="J605">
        <v>16000000</v>
      </c>
      <c r="K605" t="s">
        <v>1799</v>
      </c>
      <c r="L605" t="s">
        <v>1799</v>
      </c>
      <c r="M605" t="s">
        <v>1799</v>
      </c>
      <c r="N605" t="s">
        <v>1799</v>
      </c>
      <c r="O605" s="184" t="str">
        <f>"["&amp;$C605&amp;"]["&amp;$D605&amp;"]["&amp;$F605&amp;"]"</f>
        <v>[S10_InstallationsInfringementPenalties][1][MaxFine]</v>
      </c>
    </row>
    <row r="606" spans="1:15" x14ac:dyDescent="0.3">
      <c r="A606" t="s">
        <v>1793</v>
      </c>
      <c r="B606" t="s">
        <v>2147</v>
      </c>
      <c r="C606" t="s">
        <v>2148</v>
      </c>
      <c r="D606">
        <v>2</v>
      </c>
      <c r="E606" t="s">
        <v>1447</v>
      </c>
      <c r="F606" t="s">
        <v>2125</v>
      </c>
      <c r="G606" t="s">
        <v>1913</v>
      </c>
      <c r="H606" t="s">
        <v>1799</v>
      </c>
      <c r="I606" t="s">
        <v>1799</v>
      </c>
      <c r="J606">
        <v>16000000</v>
      </c>
      <c r="K606" t="s">
        <v>1799</v>
      </c>
      <c r="L606" t="s">
        <v>1799</v>
      </c>
      <c r="M606" t="s">
        <v>1799</v>
      </c>
      <c r="N606" t="s">
        <v>1799</v>
      </c>
      <c r="O606" s="184" t="str">
        <f>"["&amp;$C606&amp;"]["&amp;$D606&amp;"]["&amp;$F606&amp;"]"</f>
        <v>[S10_InstallationsInfringementPenalties][2][MaxFine]</v>
      </c>
    </row>
    <row r="607" spans="1:15" x14ac:dyDescent="0.3">
      <c r="A607" t="s">
        <v>1793</v>
      </c>
      <c r="B607" t="s">
        <v>2147</v>
      </c>
      <c r="C607" t="s">
        <v>2148</v>
      </c>
      <c r="D607">
        <v>12</v>
      </c>
      <c r="E607" t="s">
        <v>1447</v>
      </c>
      <c r="F607" t="s">
        <v>2125</v>
      </c>
      <c r="G607" t="s">
        <v>1913</v>
      </c>
      <c r="H607" t="s">
        <v>1799</v>
      </c>
      <c r="I607" t="s">
        <v>1799</v>
      </c>
      <c r="J607">
        <v>32000</v>
      </c>
      <c r="K607" t="s">
        <v>1799</v>
      </c>
      <c r="L607" t="s">
        <v>1799</v>
      </c>
      <c r="M607" t="s">
        <v>1799</v>
      </c>
      <c r="N607" t="s">
        <v>1799</v>
      </c>
      <c r="O607" s="184" t="str">
        <f>"["&amp;$C607&amp;"]["&amp;$D607&amp;"]["&amp;$F607&amp;"]"</f>
        <v>[S10_InstallationsInfringementPenalties][12][MaxFine]</v>
      </c>
    </row>
    <row r="608" spans="1:15" x14ac:dyDescent="0.3">
      <c r="A608" t="s">
        <v>1793</v>
      </c>
      <c r="B608" t="s">
        <v>2147</v>
      </c>
      <c r="C608" t="s">
        <v>2148</v>
      </c>
      <c r="D608">
        <v>1</v>
      </c>
      <c r="E608" t="s">
        <v>1447</v>
      </c>
      <c r="F608" t="s">
        <v>2150</v>
      </c>
      <c r="G608" t="s">
        <v>1913</v>
      </c>
      <c r="H608" t="s">
        <v>1799</v>
      </c>
      <c r="I608" t="s">
        <v>1799</v>
      </c>
      <c r="J608">
        <v>12</v>
      </c>
      <c r="K608" t="s">
        <v>1799</v>
      </c>
      <c r="L608" t="s">
        <v>1799</v>
      </c>
      <c r="M608" t="s">
        <v>1799</v>
      </c>
      <c r="N608" t="s">
        <v>1799</v>
      </c>
      <c r="O608" s="184" t="str">
        <f>"["&amp;$C608&amp;"]["&amp;$D608&amp;"]["&amp;$F608&amp;"]"</f>
        <v>[S10_InstallationsInfringementPenalties][1][PrisonMax]</v>
      </c>
    </row>
    <row r="609" spans="1:15" x14ac:dyDescent="0.3">
      <c r="A609" t="s">
        <v>1793</v>
      </c>
      <c r="B609" t="s">
        <v>2147</v>
      </c>
      <c r="C609" t="s">
        <v>2148</v>
      </c>
      <c r="D609">
        <v>2</v>
      </c>
      <c r="E609" t="s">
        <v>1447</v>
      </c>
      <c r="F609" t="s">
        <v>2150</v>
      </c>
      <c r="G609" t="s">
        <v>1913</v>
      </c>
      <c r="H609" t="s">
        <v>1799</v>
      </c>
      <c r="I609" t="s">
        <v>1799</v>
      </c>
      <c r="J609">
        <v>12</v>
      </c>
      <c r="K609" t="s">
        <v>1799</v>
      </c>
      <c r="L609" t="s">
        <v>1799</v>
      </c>
      <c r="M609" t="s">
        <v>1799</v>
      </c>
      <c r="N609" t="s">
        <v>1799</v>
      </c>
      <c r="O609" s="184" t="str">
        <f>"["&amp;$C609&amp;"]["&amp;$D609&amp;"]["&amp;$F609&amp;"]"</f>
        <v>[S10_InstallationsInfringementPenalties][2][PrisonMax]</v>
      </c>
    </row>
    <row r="610" spans="1:15" x14ac:dyDescent="0.3">
      <c r="A610" t="s">
        <v>1793</v>
      </c>
      <c r="B610" t="s">
        <v>2147</v>
      </c>
      <c r="C610" t="s">
        <v>2148</v>
      </c>
      <c r="D610">
        <v>1</v>
      </c>
      <c r="E610" t="s">
        <v>1447</v>
      </c>
      <c r="F610" t="s">
        <v>2151</v>
      </c>
      <c r="G610" t="s">
        <v>1862</v>
      </c>
      <c r="H610" t="s">
        <v>1799</v>
      </c>
      <c r="I610" t="s">
        <v>1799</v>
      </c>
      <c r="J610" t="s">
        <v>1799</v>
      </c>
      <c r="K610" t="s">
        <v>2152</v>
      </c>
      <c r="L610" t="s">
        <v>1799</v>
      </c>
      <c r="M610" t="s">
        <v>1799</v>
      </c>
      <c r="N610" t="s">
        <v>1799</v>
      </c>
      <c r="O610" s="184" t="str">
        <f>"["&amp;$C610&amp;"]["&amp;$D610&amp;"]["&amp;$F610&amp;"]"</f>
        <v>[S10_InstallationsInfringementPenalties][1][OtherPenalty]</v>
      </c>
    </row>
    <row r="611" spans="1:15" x14ac:dyDescent="0.3">
      <c r="A611" t="s">
        <v>1793</v>
      </c>
      <c r="B611" t="s">
        <v>2147</v>
      </c>
      <c r="C611" t="s">
        <v>2148</v>
      </c>
      <c r="D611">
        <v>2</v>
      </c>
      <c r="E611" t="s">
        <v>1447</v>
      </c>
      <c r="F611" t="s">
        <v>2151</v>
      </c>
      <c r="G611" t="s">
        <v>1862</v>
      </c>
      <c r="H611" t="s">
        <v>1799</v>
      </c>
      <c r="I611" t="s">
        <v>1799</v>
      </c>
      <c r="J611" t="s">
        <v>1799</v>
      </c>
      <c r="K611" t="s">
        <v>2152</v>
      </c>
      <c r="L611" t="s">
        <v>1799</v>
      </c>
      <c r="M611" t="s">
        <v>1799</v>
      </c>
      <c r="N611" t="s">
        <v>1799</v>
      </c>
      <c r="O611" s="184" t="str">
        <f>"["&amp;$C611&amp;"]["&amp;$D611&amp;"]["&amp;$F611&amp;"]"</f>
        <v>[S10_InstallationsInfringementPenalties][2][OtherPenalty]</v>
      </c>
    </row>
    <row r="612" spans="1:15" x14ac:dyDescent="0.3">
      <c r="A612" t="s">
        <v>1793</v>
      </c>
      <c r="B612" t="s">
        <v>2147</v>
      </c>
      <c r="C612" t="s">
        <v>2148</v>
      </c>
      <c r="D612">
        <v>12</v>
      </c>
      <c r="E612" t="s">
        <v>1419</v>
      </c>
      <c r="F612" t="s">
        <v>2153</v>
      </c>
      <c r="G612" t="s">
        <v>1862</v>
      </c>
      <c r="H612" t="s">
        <v>1799</v>
      </c>
      <c r="I612" t="s">
        <v>1799</v>
      </c>
      <c r="J612" t="s">
        <v>1799</v>
      </c>
      <c r="K612" t="s">
        <v>2154</v>
      </c>
      <c r="L612" t="s">
        <v>1799</v>
      </c>
      <c r="M612" t="s">
        <v>1799</v>
      </c>
      <c r="N612" t="s">
        <v>1799</v>
      </c>
      <c r="O612" s="184" t="str">
        <f>"["&amp;$C612&amp;"]["&amp;$D612&amp;"]["&amp;$F612&amp;"]"</f>
        <v>[S10_InstallationsInfringementPenalties][12][InfringementOther]</v>
      </c>
    </row>
    <row r="613" spans="1:15" x14ac:dyDescent="0.3">
      <c r="A613" t="s">
        <v>1793</v>
      </c>
      <c r="B613" t="s">
        <v>2147</v>
      </c>
      <c r="C613" t="s">
        <v>2155</v>
      </c>
      <c r="D613">
        <v>0</v>
      </c>
      <c r="E613" t="s">
        <v>1447</v>
      </c>
      <c r="F613" t="s">
        <v>2155</v>
      </c>
      <c r="G613" t="s">
        <v>1797</v>
      </c>
      <c r="H613" t="s">
        <v>2156</v>
      </c>
      <c r="I613" t="s">
        <v>1799</v>
      </c>
      <c r="J613" t="s">
        <v>1799</v>
      </c>
      <c r="K613" t="s">
        <v>1799</v>
      </c>
      <c r="L613" t="s">
        <v>1799</v>
      </c>
      <c r="M613" t="s">
        <v>1799</v>
      </c>
      <c r="N613" t="s">
        <v>1799</v>
      </c>
      <c r="O613" s="184" t="str">
        <f>"["&amp;$C613&amp;"]["&amp;$D613&amp;"]["&amp;$F613&amp;"]"</f>
        <v>[InstallationsNationalLaw][0][InstallationsNationalLaw]</v>
      </c>
    </row>
    <row r="614" spans="1:15" x14ac:dyDescent="0.3">
      <c r="A614" t="s">
        <v>1793</v>
      </c>
      <c r="B614" t="s">
        <v>2157</v>
      </c>
      <c r="C614" t="s">
        <v>2158</v>
      </c>
      <c r="D614">
        <v>0</v>
      </c>
      <c r="E614" t="s">
        <v>1447</v>
      </c>
      <c r="F614" t="s">
        <v>2158</v>
      </c>
      <c r="G614" t="s">
        <v>1829</v>
      </c>
      <c r="H614" t="s">
        <v>1799</v>
      </c>
      <c r="I614" t="s">
        <v>1799</v>
      </c>
      <c r="J614" t="s">
        <v>1799</v>
      </c>
      <c r="K614" t="s">
        <v>1799</v>
      </c>
      <c r="L614" t="s">
        <v>1447</v>
      </c>
      <c r="M614" t="s">
        <v>1799</v>
      </c>
      <c r="N614" t="s">
        <v>1799</v>
      </c>
      <c r="O614" s="184" t="str">
        <f>"["&amp;$C614&amp;"]["&amp;$D614&amp;"]["&amp;$F614&amp;"]"</f>
        <v>[InstallationsPriorPenaltiesEnforced][0][InstallationsPriorPenaltiesEnforced]</v>
      </c>
    </row>
    <row r="615" spans="1:15" x14ac:dyDescent="0.3">
      <c r="A615" t="s">
        <v>1793</v>
      </c>
      <c r="B615" t="s">
        <v>2159</v>
      </c>
      <c r="C615" t="s">
        <v>2160</v>
      </c>
      <c r="D615">
        <v>1</v>
      </c>
      <c r="E615" t="s">
        <v>1447</v>
      </c>
      <c r="F615" t="s">
        <v>2142</v>
      </c>
      <c r="G615" t="s">
        <v>1829</v>
      </c>
      <c r="H615" t="s">
        <v>1799</v>
      </c>
      <c r="I615" t="s">
        <v>1799</v>
      </c>
      <c r="J615" t="s">
        <v>1799</v>
      </c>
      <c r="K615" t="s">
        <v>1799</v>
      </c>
      <c r="L615" t="s">
        <v>1447</v>
      </c>
      <c r="M615" t="s">
        <v>1799</v>
      </c>
      <c r="N615" t="s">
        <v>1799</v>
      </c>
      <c r="O615" s="184" t="str">
        <f>"["&amp;$C615&amp;"]["&amp;$D615&amp;"]["&amp;$F615&amp;"]"</f>
        <v>[S10_AircraftComplianceMeasures][1][ComplianceMeasuresYesNo]</v>
      </c>
    </row>
    <row r="616" spans="1:15" x14ac:dyDescent="0.3">
      <c r="A616" t="s">
        <v>1793</v>
      </c>
      <c r="B616" t="s">
        <v>2159</v>
      </c>
      <c r="C616" t="s">
        <v>2160</v>
      </c>
      <c r="D616">
        <v>2</v>
      </c>
      <c r="E616" t="s">
        <v>1447</v>
      </c>
      <c r="F616" t="s">
        <v>2142</v>
      </c>
      <c r="G616" t="s">
        <v>1829</v>
      </c>
      <c r="H616" t="s">
        <v>1799</v>
      </c>
      <c r="I616" t="s">
        <v>1799</v>
      </c>
      <c r="J616" t="s">
        <v>1799</v>
      </c>
      <c r="K616" t="s">
        <v>1799</v>
      </c>
      <c r="L616" t="s">
        <v>1447</v>
      </c>
      <c r="M616" t="s">
        <v>1799</v>
      </c>
      <c r="N616" t="s">
        <v>1799</v>
      </c>
      <c r="O616" s="184" t="str">
        <f>"["&amp;$C616&amp;"]["&amp;$D616&amp;"]["&amp;$F616&amp;"]"</f>
        <v>[S10_AircraftComplianceMeasures][2][ComplianceMeasuresYesNo]</v>
      </c>
    </row>
    <row r="617" spans="1:15" x14ac:dyDescent="0.3">
      <c r="A617" t="s">
        <v>1793</v>
      </c>
      <c r="B617" t="s">
        <v>2159</v>
      </c>
      <c r="C617" t="s">
        <v>2160</v>
      </c>
      <c r="D617">
        <v>3</v>
      </c>
      <c r="E617" t="s">
        <v>1447</v>
      </c>
      <c r="F617" t="s">
        <v>2142</v>
      </c>
      <c r="G617" t="s">
        <v>1829</v>
      </c>
      <c r="H617" t="s">
        <v>1799</v>
      </c>
      <c r="I617" t="s">
        <v>1799</v>
      </c>
      <c r="J617" t="s">
        <v>1799</v>
      </c>
      <c r="K617" t="s">
        <v>1799</v>
      </c>
      <c r="L617" t="s">
        <v>1419</v>
      </c>
      <c r="M617" t="s">
        <v>1799</v>
      </c>
      <c r="N617" t="s">
        <v>1799</v>
      </c>
      <c r="O617" s="184" t="str">
        <f>"["&amp;$C617&amp;"]["&amp;$D617&amp;"]["&amp;$F617&amp;"]"</f>
        <v>[S10_AircraftComplianceMeasures][3][ComplianceMeasuresYesNo]</v>
      </c>
    </row>
    <row r="618" spans="1:15" x14ac:dyDescent="0.3">
      <c r="A618" t="s">
        <v>1793</v>
      </c>
      <c r="B618" t="s">
        <v>2159</v>
      </c>
      <c r="C618" t="s">
        <v>2160</v>
      </c>
      <c r="D618">
        <v>4</v>
      </c>
      <c r="E618" t="s">
        <v>1447</v>
      </c>
      <c r="F618" t="s">
        <v>2142</v>
      </c>
      <c r="G618" t="s">
        <v>1829</v>
      </c>
      <c r="H618" t="s">
        <v>1799</v>
      </c>
      <c r="I618" t="s">
        <v>1799</v>
      </c>
      <c r="J618" t="s">
        <v>1799</v>
      </c>
      <c r="K618" t="s">
        <v>1799</v>
      </c>
      <c r="L618" t="s">
        <v>1447</v>
      </c>
      <c r="M618" t="s">
        <v>1799</v>
      </c>
      <c r="N618" t="s">
        <v>1799</v>
      </c>
      <c r="O618" s="184" t="str">
        <f>"["&amp;$C618&amp;"]["&amp;$D618&amp;"]["&amp;$F618&amp;"]"</f>
        <v>[S10_AircraftComplianceMeasures][4][ComplianceMeasuresYesNo]</v>
      </c>
    </row>
    <row r="619" spans="1:15" x14ac:dyDescent="0.3">
      <c r="A619" t="s">
        <v>1793</v>
      </c>
      <c r="B619" t="s">
        <v>2159</v>
      </c>
      <c r="C619" t="s">
        <v>2160</v>
      </c>
      <c r="D619">
        <v>2</v>
      </c>
      <c r="E619" t="s">
        <v>1447</v>
      </c>
      <c r="F619" t="s">
        <v>2143</v>
      </c>
      <c r="G619" t="s">
        <v>1862</v>
      </c>
      <c r="H619" t="s">
        <v>1799</v>
      </c>
      <c r="I619" t="s">
        <v>1799</v>
      </c>
      <c r="J619" t="s">
        <v>1799</v>
      </c>
      <c r="K619" t="s">
        <v>2145</v>
      </c>
      <c r="L619" t="s">
        <v>1799</v>
      </c>
      <c r="M619" t="s">
        <v>1799</v>
      </c>
      <c r="N619" t="s">
        <v>1799</v>
      </c>
      <c r="O619" s="184" t="str">
        <f>"["&amp;$C619&amp;"]["&amp;$D619&amp;"]["&amp;$F619&amp;"]"</f>
        <v>[S10_AircraftComplianceMeasures][2][ComplianceMeasuresComment]</v>
      </c>
    </row>
    <row r="620" spans="1:15" x14ac:dyDescent="0.3">
      <c r="A620" t="s">
        <v>1793</v>
      </c>
      <c r="B620" t="s">
        <v>2159</v>
      </c>
      <c r="C620" t="s">
        <v>2160</v>
      </c>
      <c r="D620">
        <v>3</v>
      </c>
      <c r="E620" t="s">
        <v>1447</v>
      </c>
      <c r="F620" t="s">
        <v>2143</v>
      </c>
      <c r="G620" t="s">
        <v>1862</v>
      </c>
      <c r="H620" t="s">
        <v>1799</v>
      </c>
      <c r="I620" t="s">
        <v>1799</v>
      </c>
      <c r="J620" t="s">
        <v>1799</v>
      </c>
      <c r="K620" t="s">
        <v>2161</v>
      </c>
      <c r="L620" t="s">
        <v>1799</v>
      </c>
      <c r="M620" t="s">
        <v>1799</v>
      </c>
      <c r="N620" t="s">
        <v>1799</v>
      </c>
      <c r="O620" s="184" t="str">
        <f>"["&amp;$C620&amp;"]["&amp;$D620&amp;"]["&amp;$F620&amp;"]"</f>
        <v>[S10_AircraftComplianceMeasures][3][ComplianceMeasuresComment]</v>
      </c>
    </row>
    <row r="621" spans="1:15" x14ac:dyDescent="0.3">
      <c r="A621" t="s">
        <v>1793</v>
      </c>
      <c r="B621" t="s">
        <v>2162</v>
      </c>
      <c r="C621" t="s">
        <v>2163</v>
      </c>
      <c r="D621">
        <v>12</v>
      </c>
      <c r="E621" t="s">
        <v>1447</v>
      </c>
      <c r="F621" t="s">
        <v>2125</v>
      </c>
      <c r="G621" t="s">
        <v>1913</v>
      </c>
      <c r="H621" t="s">
        <v>1799</v>
      </c>
      <c r="I621" t="s">
        <v>1799</v>
      </c>
      <c r="J621">
        <v>32000</v>
      </c>
      <c r="K621" t="s">
        <v>1799</v>
      </c>
      <c r="L621" t="s">
        <v>1799</v>
      </c>
      <c r="M621" t="s">
        <v>1799</v>
      </c>
      <c r="N621" t="s">
        <v>1799</v>
      </c>
      <c r="O621" s="184" t="str">
        <f>"["&amp;$C621&amp;"]["&amp;$D621&amp;"]["&amp;$F621&amp;"]"</f>
        <v>[S10_AircraftInfringementPenalties][12][MaxFine]</v>
      </c>
    </row>
    <row r="622" spans="1:15" x14ac:dyDescent="0.3">
      <c r="A622" t="s">
        <v>1793</v>
      </c>
      <c r="B622" t="s">
        <v>2162</v>
      </c>
      <c r="C622" t="s">
        <v>2163</v>
      </c>
      <c r="D622">
        <v>12</v>
      </c>
      <c r="E622" t="s">
        <v>1419</v>
      </c>
      <c r="F622" t="s">
        <v>2153</v>
      </c>
      <c r="G622" t="s">
        <v>1862</v>
      </c>
      <c r="H622" t="s">
        <v>1799</v>
      </c>
      <c r="I622" t="s">
        <v>1799</v>
      </c>
      <c r="J622" t="s">
        <v>1799</v>
      </c>
      <c r="K622" t="s">
        <v>2154</v>
      </c>
      <c r="L622" t="s">
        <v>1799</v>
      </c>
      <c r="M622" t="s">
        <v>1799</v>
      </c>
      <c r="N622" t="s">
        <v>1799</v>
      </c>
      <c r="O622" s="184" t="str">
        <f>"["&amp;$C622&amp;"]["&amp;$D622&amp;"]["&amp;$F622&amp;"]"</f>
        <v>[S10_AircraftInfringementPenalties][12][InfringementOther]</v>
      </c>
    </row>
    <row r="623" spans="1:15" x14ac:dyDescent="0.3">
      <c r="A623" t="s">
        <v>1793</v>
      </c>
      <c r="B623" t="s">
        <v>2164</v>
      </c>
      <c r="C623" t="s">
        <v>2165</v>
      </c>
      <c r="D623">
        <v>0</v>
      </c>
      <c r="E623" t="s">
        <v>1447</v>
      </c>
      <c r="F623" t="s">
        <v>2165</v>
      </c>
      <c r="G623" t="s">
        <v>1829</v>
      </c>
      <c r="H623" t="s">
        <v>1799</v>
      </c>
      <c r="I623" t="s">
        <v>1799</v>
      </c>
      <c r="J623" t="s">
        <v>1799</v>
      </c>
      <c r="K623" t="s">
        <v>1799</v>
      </c>
      <c r="L623" t="s">
        <v>1447</v>
      </c>
      <c r="M623" t="s">
        <v>1799</v>
      </c>
      <c r="N623" t="s">
        <v>1799</v>
      </c>
      <c r="O623" s="184" t="str">
        <f>"["&amp;$C623&amp;"]["&amp;$D623&amp;"]["&amp;$F623&amp;"]"</f>
        <v>[AircraftPriorPenaltiesEnforced][0][AircraftPriorPenaltiesEnforced]</v>
      </c>
    </row>
    <row r="624" spans="1:15" x14ac:dyDescent="0.3">
      <c r="A624" t="s">
        <v>1793</v>
      </c>
      <c r="B624" t="s">
        <v>2166</v>
      </c>
      <c r="C624" t="s">
        <v>2167</v>
      </c>
      <c r="D624">
        <v>0</v>
      </c>
      <c r="E624" t="s">
        <v>1447</v>
      </c>
      <c r="F624" t="s">
        <v>2167</v>
      </c>
      <c r="G624" t="s">
        <v>1797</v>
      </c>
      <c r="H624" t="s">
        <v>2168</v>
      </c>
      <c r="I624" t="s">
        <v>1799</v>
      </c>
      <c r="J624" t="s">
        <v>1799</v>
      </c>
      <c r="K624" t="s">
        <v>1799</v>
      </c>
      <c r="L624" t="s">
        <v>1799</v>
      </c>
      <c r="M624" t="s">
        <v>1799</v>
      </c>
      <c r="N624" t="s">
        <v>1799</v>
      </c>
      <c r="O624" s="184" t="str">
        <f>"["&amp;$C624&amp;"]["&amp;$D624&amp;"]["&amp;$F624&amp;"]"</f>
        <v>[OperatingBanRequestMeasures][0][OperatingBanRequestMeasures]</v>
      </c>
    </row>
    <row r="625" spans="1:15" x14ac:dyDescent="0.3">
      <c r="A625" t="s">
        <v>1793</v>
      </c>
      <c r="B625" t="s">
        <v>2169</v>
      </c>
      <c r="C625" t="s">
        <v>2170</v>
      </c>
      <c r="D625">
        <v>0</v>
      </c>
      <c r="E625" t="s">
        <v>1447</v>
      </c>
      <c r="F625" t="s">
        <v>2170</v>
      </c>
      <c r="G625" t="s">
        <v>1797</v>
      </c>
      <c r="H625" t="s">
        <v>2171</v>
      </c>
      <c r="I625" t="s">
        <v>1799</v>
      </c>
      <c r="J625" t="s">
        <v>1799</v>
      </c>
      <c r="K625" t="s">
        <v>1799</v>
      </c>
      <c r="L625" t="s">
        <v>1799</v>
      </c>
      <c r="M625" t="s">
        <v>1799</v>
      </c>
      <c r="N625" t="s">
        <v>1799</v>
      </c>
      <c r="O625" s="184" t="str">
        <f>"["&amp;$C625&amp;"]["&amp;$D625&amp;"]["&amp;$F625&amp;"]"</f>
        <v>[LegalNatureOfEmissionAllowance][0][LegalNatureOfEmissionAllowance]</v>
      </c>
    </row>
    <row r="626" spans="1:15" x14ac:dyDescent="0.3">
      <c r="A626" t="s">
        <v>1793</v>
      </c>
      <c r="B626" t="s">
        <v>2172</v>
      </c>
      <c r="C626" t="s">
        <v>2173</v>
      </c>
      <c r="D626">
        <v>0</v>
      </c>
      <c r="E626" t="s">
        <v>1447</v>
      </c>
      <c r="F626" t="s">
        <v>2173</v>
      </c>
      <c r="G626" t="s">
        <v>1797</v>
      </c>
      <c r="H626" t="s">
        <v>2174</v>
      </c>
      <c r="I626" t="s">
        <v>1799</v>
      </c>
      <c r="J626" t="s">
        <v>1799</v>
      </c>
      <c r="K626" t="s">
        <v>1799</v>
      </c>
      <c r="L626" t="s">
        <v>1799</v>
      </c>
      <c r="M626" t="s">
        <v>1799</v>
      </c>
      <c r="N626" t="s">
        <v>1799</v>
      </c>
      <c r="O626" s="184" t="str">
        <f>"["&amp;$C626&amp;"]["&amp;$D626&amp;"]["&amp;$F626&amp;"]"</f>
        <v>[AccountingTreatmentOfEmissionAllowances][0][AccountingTreatmentOfEmissionAllowances]</v>
      </c>
    </row>
    <row r="627" spans="1:15" x14ac:dyDescent="0.3">
      <c r="A627" t="s">
        <v>1793</v>
      </c>
      <c r="B627" t="s">
        <v>2175</v>
      </c>
      <c r="C627" t="s">
        <v>2176</v>
      </c>
      <c r="D627">
        <v>0</v>
      </c>
      <c r="E627" t="s">
        <v>1447</v>
      </c>
      <c r="F627" t="s">
        <v>2176</v>
      </c>
      <c r="G627" t="s">
        <v>1829</v>
      </c>
      <c r="H627" t="s">
        <v>1799</v>
      </c>
      <c r="I627" t="s">
        <v>1799</v>
      </c>
      <c r="J627" t="s">
        <v>1799</v>
      </c>
      <c r="K627" t="s">
        <v>1799</v>
      </c>
      <c r="L627" t="s">
        <v>1447</v>
      </c>
      <c r="M627" t="s">
        <v>1799</v>
      </c>
      <c r="N627" t="s">
        <v>1799</v>
      </c>
      <c r="O627" s="184" t="str">
        <f>"["&amp;$C627&amp;"]["&amp;$D627&amp;"]["&amp;$F627&amp;"]"</f>
        <v>[VATdueEmissionAllowancesIssuance][0][VATdueEmissionAllowancesIssuance]</v>
      </c>
    </row>
    <row r="628" spans="1:15" x14ac:dyDescent="0.3">
      <c r="A628" t="s">
        <v>1793</v>
      </c>
      <c r="B628" t="s">
        <v>2175</v>
      </c>
      <c r="C628" t="s">
        <v>2177</v>
      </c>
      <c r="D628">
        <v>0</v>
      </c>
      <c r="E628" t="s">
        <v>1447</v>
      </c>
      <c r="F628" t="s">
        <v>2177</v>
      </c>
      <c r="G628" t="s">
        <v>1829</v>
      </c>
      <c r="H628" t="s">
        <v>1799</v>
      </c>
      <c r="I628" t="s">
        <v>1799</v>
      </c>
      <c r="J628" t="s">
        <v>1799</v>
      </c>
      <c r="K628" t="s">
        <v>1799</v>
      </c>
      <c r="L628" t="s">
        <v>1447</v>
      </c>
      <c r="M628" t="s">
        <v>1799</v>
      </c>
      <c r="N628" t="s">
        <v>1799</v>
      </c>
      <c r="O628" s="184" t="str">
        <f>"["&amp;$C628&amp;"]["&amp;$D628&amp;"]["&amp;$F628&amp;"]"</f>
        <v>[ReverseChargeMechanismEmissionAllowances][0][ReverseChargeMechanismEmissionAllowances]</v>
      </c>
    </row>
    <row r="629" spans="1:15" x14ac:dyDescent="0.3">
      <c r="A629" t="s">
        <v>1793</v>
      </c>
      <c r="B629" t="s">
        <v>2178</v>
      </c>
      <c r="C629" t="s">
        <v>2179</v>
      </c>
      <c r="D629">
        <v>0</v>
      </c>
      <c r="E629" t="s">
        <v>1447</v>
      </c>
      <c r="F629" t="s">
        <v>2179</v>
      </c>
      <c r="G629" t="s">
        <v>1829</v>
      </c>
      <c r="H629" t="s">
        <v>1799</v>
      </c>
      <c r="I629" t="s">
        <v>1799</v>
      </c>
      <c r="J629" t="s">
        <v>1799</v>
      </c>
      <c r="K629" t="s">
        <v>1799</v>
      </c>
      <c r="L629" t="s">
        <v>1447</v>
      </c>
      <c r="M629" t="s">
        <v>1799</v>
      </c>
      <c r="N629" t="s">
        <v>1799</v>
      </c>
      <c r="O629" s="184" t="str">
        <f>"["&amp;$C629&amp;"]["&amp;$D629&amp;"]["&amp;$F629&amp;"]"</f>
        <v>[EmissionAllowancesTaxed][0][EmissionAllowancesTaxed]</v>
      </c>
    </row>
    <row r="630" spans="1:15" x14ac:dyDescent="0.3">
      <c r="A630" t="s">
        <v>1793</v>
      </c>
      <c r="B630" t="s">
        <v>2180</v>
      </c>
      <c r="C630" t="s">
        <v>2181</v>
      </c>
      <c r="D630">
        <v>1</v>
      </c>
      <c r="E630" t="s">
        <v>1447</v>
      </c>
      <c r="F630" t="s">
        <v>2182</v>
      </c>
      <c r="G630" t="s">
        <v>1811</v>
      </c>
      <c r="H630" t="s">
        <v>1799</v>
      </c>
      <c r="I630">
        <v>0</v>
      </c>
      <c r="J630" t="s">
        <v>1799</v>
      </c>
      <c r="K630" t="s">
        <v>1799</v>
      </c>
      <c r="L630" t="s">
        <v>1799</v>
      </c>
      <c r="M630" t="s">
        <v>1799</v>
      </c>
      <c r="N630" t="s">
        <v>1799</v>
      </c>
      <c r="O630" s="184" t="str">
        <f>"["&amp;$C630&amp;"]["&amp;$D630&amp;"]["&amp;$F630&amp;"]"</f>
        <v>[S12_InformationOnFraudActivities][1][NumberOfActivities]</v>
      </c>
    </row>
    <row r="631" spans="1:15" x14ac:dyDescent="0.3">
      <c r="A631" t="s">
        <v>1793</v>
      </c>
      <c r="B631" t="s">
        <v>2180</v>
      </c>
      <c r="C631" t="s">
        <v>2181</v>
      </c>
      <c r="D631">
        <v>2</v>
      </c>
      <c r="E631" t="s">
        <v>1447</v>
      </c>
      <c r="F631" t="s">
        <v>2182</v>
      </c>
      <c r="G631" t="s">
        <v>1811</v>
      </c>
      <c r="H631" t="s">
        <v>1799</v>
      </c>
      <c r="I631">
        <v>0</v>
      </c>
      <c r="J631" t="s">
        <v>1799</v>
      </c>
      <c r="K631" t="s">
        <v>1799</v>
      </c>
      <c r="L631" t="s">
        <v>1799</v>
      </c>
      <c r="M631" t="s">
        <v>1799</v>
      </c>
      <c r="N631" t="s">
        <v>1799</v>
      </c>
      <c r="O631" s="184" t="str">
        <f>"["&amp;$C631&amp;"]["&amp;$D631&amp;"]["&amp;$F631&amp;"]"</f>
        <v>[S12_InformationOnFraudActivities][2][NumberOfActivities]</v>
      </c>
    </row>
    <row r="632" spans="1:15" x14ac:dyDescent="0.3">
      <c r="A632" t="s">
        <v>1793</v>
      </c>
      <c r="B632" t="s">
        <v>2180</v>
      </c>
      <c r="C632" t="s">
        <v>2181</v>
      </c>
      <c r="D632">
        <v>3</v>
      </c>
      <c r="E632" t="s">
        <v>1447</v>
      </c>
      <c r="F632" t="s">
        <v>2182</v>
      </c>
      <c r="G632" t="s">
        <v>1811</v>
      </c>
      <c r="H632" t="s">
        <v>1799</v>
      </c>
      <c r="I632">
        <v>0</v>
      </c>
      <c r="J632" t="s">
        <v>1799</v>
      </c>
      <c r="K632" t="s">
        <v>1799</v>
      </c>
      <c r="L632" t="s">
        <v>1799</v>
      </c>
      <c r="M632" t="s">
        <v>1799</v>
      </c>
      <c r="N632" t="s">
        <v>1799</v>
      </c>
      <c r="O632" s="184" t="str">
        <f>"["&amp;$C632&amp;"]["&amp;$D632&amp;"]["&amp;$F632&amp;"]"</f>
        <v>[S12_InformationOnFraudActivities][3][NumberOfActivities]</v>
      </c>
    </row>
    <row r="633" spans="1:15" x14ac:dyDescent="0.3">
      <c r="A633" t="s">
        <v>1793</v>
      </c>
      <c r="B633" t="s">
        <v>2180</v>
      </c>
      <c r="C633" t="s">
        <v>2181</v>
      </c>
      <c r="D633">
        <v>4</v>
      </c>
      <c r="E633" t="s">
        <v>1447</v>
      </c>
      <c r="F633" t="s">
        <v>2182</v>
      </c>
      <c r="G633" t="s">
        <v>1811</v>
      </c>
      <c r="H633" t="s">
        <v>1799</v>
      </c>
      <c r="I633">
        <v>0</v>
      </c>
      <c r="J633" t="s">
        <v>1799</v>
      </c>
      <c r="K633" t="s">
        <v>1799</v>
      </c>
      <c r="L633" t="s">
        <v>1799</v>
      </c>
      <c r="M633" t="s">
        <v>1799</v>
      </c>
      <c r="N633" t="s">
        <v>1799</v>
      </c>
      <c r="O633" s="184" t="str">
        <f>"["&amp;$C633&amp;"]["&amp;$D633&amp;"]["&amp;$F633&amp;"]"</f>
        <v>[S12_InformationOnFraudActivities][4][NumberOfActivities]</v>
      </c>
    </row>
    <row r="634" spans="1:15" x14ac:dyDescent="0.3">
      <c r="A634" t="s">
        <v>1793</v>
      </c>
      <c r="B634" t="s">
        <v>2183</v>
      </c>
      <c r="C634" t="s">
        <v>2184</v>
      </c>
      <c r="D634">
        <v>12</v>
      </c>
      <c r="E634" t="s">
        <v>1447</v>
      </c>
      <c r="F634" t="s">
        <v>2185</v>
      </c>
      <c r="G634" t="s">
        <v>1862</v>
      </c>
      <c r="H634" t="s">
        <v>1799</v>
      </c>
      <c r="I634" t="s">
        <v>1799</v>
      </c>
      <c r="J634" t="s">
        <v>1799</v>
      </c>
      <c r="K634" t="s">
        <v>2186</v>
      </c>
      <c r="L634" t="s">
        <v>1799</v>
      </c>
      <c r="M634" t="s">
        <v>1799</v>
      </c>
      <c r="N634" t="s">
        <v>1799</v>
      </c>
      <c r="O634" s="184" t="str">
        <f>"["&amp;$C634&amp;"]["&amp;$D634&amp;"]["&amp;$F634&amp;"]"</f>
        <v>[S13_AnyOtherIssues][12][OtherInformationOrIssues]</v>
      </c>
    </row>
    <row r="635" spans="1:15" x14ac:dyDescent="0.3">
      <c r="A635" t="s">
        <v>1793</v>
      </c>
      <c r="B635" t="s">
        <v>2183</v>
      </c>
      <c r="C635" t="s">
        <v>2184</v>
      </c>
      <c r="D635">
        <v>35</v>
      </c>
      <c r="E635" t="s">
        <v>1447</v>
      </c>
      <c r="F635" t="s">
        <v>2185</v>
      </c>
      <c r="G635" t="s">
        <v>1862</v>
      </c>
      <c r="H635" t="s">
        <v>1799</v>
      </c>
      <c r="I635" t="s">
        <v>1799</v>
      </c>
      <c r="J635" t="s">
        <v>1799</v>
      </c>
      <c r="K635" t="s">
        <v>2187</v>
      </c>
      <c r="L635" t="s">
        <v>1799</v>
      </c>
      <c r="M635" t="s">
        <v>1799</v>
      </c>
      <c r="N635" t="s">
        <v>1799</v>
      </c>
      <c r="O635" s="184" t="str">
        <f>"["&amp;$C635&amp;"]["&amp;$D635&amp;"]["&amp;$F635&amp;"]"</f>
        <v>[S13_AnyOtherIssues][35][OtherInformationOrIssues]</v>
      </c>
    </row>
    <row r="636" spans="1:15" x14ac:dyDescent="0.3">
      <c r="A636" t="s">
        <v>1793</v>
      </c>
      <c r="B636" t="s">
        <v>2183</v>
      </c>
      <c r="C636" t="s">
        <v>2184</v>
      </c>
      <c r="D636">
        <v>36</v>
      </c>
      <c r="E636" t="s">
        <v>1447</v>
      </c>
      <c r="F636" t="s">
        <v>2185</v>
      </c>
      <c r="G636" t="s">
        <v>1862</v>
      </c>
      <c r="H636" t="s">
        <v>1799</v>
      </c>
      <c r="I636" t="s">
        <v>1799</v>
      </c>
      <c r="J636" t="s">
        <v>1799</v>
      </c>
      <c r="K636" t="s">
        <v>2188</v>
      </c>
      <c r="L636" t="s">
        <v>1799</v>
      </c>
      <c r="M636" t="s">
        <v>1799</v>
      </c>
      <c r="N636" t="s">
        <v>1799</v>
      </c>
      <c r="O636" s="184" t="str">
        <f>"["&amp;$C636&amp;"]["&amp;$D636&amp;"]["&amp;$F636&amp;"]"</f>
        <v>[S13_AnyOtherIssues][36][OtherInformationOrIssues]</v>
      </c>
    </row>
    <row r="637" spans="1:15" x14ac:dyDescent="0.3">
      <c r="A637" t="s">
        <v>1793</v>
      </c>
      <c r="B637" t="s">
        <v>2183</v>
      </c>
      <c r="C637" t="s">
        <v>2184</v>
      </c>
      <c r="D637">
        <v>37</v>
      </c>
      <c r="E637" t="s">
        <v>1447</v>
      </c>
      <c r="F637" t="s">
        <v>2185</v>
      </c>
      <c r="G637" t="s">
        <v>1862</v>
      </c>
      <c r="H637" t="s">
        <v>1799</v>
      </c>
      <c r="I637" t="s">
        <v>1799</v>
      </c>
      <c r="J637" t="s">
        <v>1799</v>
      </c>
      <c r="K637" t="s">
        <v>2189</v>
      </c>
      <c r="L637" t="s">
        <v>1799</v>
      </c>
      <c r="M637" t="s">
        <v>1799</v>
      </c>
      <c r="N637" t="s">
        <v>1799</v>
      </c>
      <c r="O637" s="184" t="str">
        <f>"["&amp;$C637&amp;"]["&amp;$D637&amp;"]["&amp;$F637&amp;"]"</f>
        <v>[S13_AnyOtherIssues][37][OtherInformationOrIssues]</v>
      </c>
    </row>
    <row r="638" spans="1:15" x14ac:dyDescent="0.3">
      <c r="A638" t="s">
        <v>1793</v>
      </c>
      <c r="B638" t="s">
        <v>2183</v>
      </c>
      <c r="C638" t="s">
        <v>2184</v>
      </c>
      <c r="D638">
        <v>38</v>
      </c>
      <c r="E638" t="s">
        <v>1447</v>
      </c>
      <c r="F638" t="s">
        <v>2185</v>
      </c>
      <c r="G638" t="s">
        <v>1862</v>
      </c>
      <c r="H638" t="s">
        <v>1799</v>
      </c>
      <c r="I638" t="s">
        <v>1799</v>
      </c>
      <c r="J638" t="s">
        <v>1799</v>
      </c>
      <c r="K638" t="s">
        <v>2189</v>
      </c>
      <c r="L638" t="s">
        <v>1799</v>
      </c>
      <c r="M638" t="s">
        <v>1799</v>
      </c>
      <c r="N638" t="s">
        <v>1799</v>
      </c>
      <c r="O638" s="184" t="str">
        <f>"["&amp;$C638&amp;"]["&amp;$D638&amp;"]["&amp;$F638&amp;"]"</f>
        <v>[S13_AnyOtherIssues][38][OtherInformationOrIssues]</v>
      </c>
    </row>
    <row r="639" spans="1:15" x14ac:dyDescent="0.3">
      <c r="A639" t="s">
        <v>1793</v>
      </c>
      <c r="B639" t="s">
        <v>2183</v>
      </c>
      <c r="C639" t="s">
        <v>2184</v>
      </c>
      <c r="D639">
        <v>39</v>
      </c>
      <c r="E639" t="s">
        <v>1447</v>
      </c>
      <c r="F639" t="s">
        <v>2185</v>
      </c>
      <c r="G639" t="s">
        <v>1862</v>
      </c>
      <c r="H639" t="s">
        <v>1799</v>
      </c>
      <c r="I639" t="s">
        <v>1799</v>
      </c>
      <c r="J639" t="s">
        <v>1799</v>
      </c>
      <c r="K639" t="s">
        <v>2190</v>
      </c>
      <c r="L639" t="s">
        <v>1799</v>
      </c>
      <c r="M639" t="s">
        <v>1799</v>
      </c>
      <c r="N639" t="s">
        <v>1799</v>
      </c>
      <c r="O639" s="184" t="str">
        <f>"["&amp;$C639&amp;"]["&amp;$D639&amp;"]["&amp;$F639&amp;"]"</f>
        <v>[S13_AnyOtherIssues][39][OtherInformationOrIssues]</v>
      </c>
    </row>
    <row r="640" spans="1:15" x14ac:dyDescent="0.3">
      <c r="A640" t="s">
        <v>1793</v>
      </c>
      <c r="B640" t="s">
        <v>2183</v>
      </c>
      <c r="C640" t="s">
        <v>2184</v>
      </c>
      <c r="D640">
        <v>47</v>
      </c>
      <c r="E640" t="s">
        <v>1447</v>
      </c>
      <c r="F640" t="s">
        <v>2185</v>
      </c>
      <c r="G640" t="s">
        <v>1862</v>
      </c>
      <c r="H640" t="s">
        <v>1799</v>
      </c>
      <c r="I640" t="s">
        <v>1799</v>
      </c>
      <c r="J640" t="s">
        <v>1799</v>
      </c>
      <c r="K640" t="s">
        <v>2191</v>
      </c>
      <c r="L640" t="s">
        <v>1799</v>
      </c>
      <c r="M640" t="s">
        <v>1799</v>
      </c>
      <c r="N640" t="s">
        <v>1799</v>
      </c>
      <c r="O640" s="184" t="str">
        <f>"["&amp;$C640&amp;"]["&amp;$D640&amp;"]["&amp;$F640&amp;"]"</f>
        <v>[S13_AnyOtherIssues][47][OtherInformationOrIssues]</v>
      </c>
    </row>
    <row r="641" spans="1:15" x14ac:dyDescent="0.3">
      <c r="A641" t="s">
        <v>1793</v>
      </c>
      <c r="B641" t="s">
        <v>2183</v>
      </c>
      <c r="C641" t="s">
        <v>2184</v>
      </c>
      <c r="D641">
        <v>50</v>
      </c>
      <c r="E641" t="s">
        <v>1447</v>
      </c>
      <c r="F641" t="s">
        <v>2185</v>
      </c>
      <c r="G641" t="s">
        <v>1862</v>
      </c>
      <c r="H641" t="s">
        <v>1799</v>
      </c>
      <c r="I641" t="s">
        <v>1799</v>
      </c>
      <c r="J641" t="s">
        <v>1799</v>
      </c>
      <c r="K641" t="s">
        <v>2192</v>
      </c>
      <c r="L641" t="s">
        <v>1799</v>
      </c>
      <c r="M641" t="s">
        <v>1799</v>
      </c>
      <c r="N641" t="s">
        <v>1799</v>
      </c>
      <c r="O641" s="184" t="str">
        <f>"["&amp;$C641&amp;"]["&amp;$D641&amp;"]["&amp;$F641&amp;"]"</f>
        <v>[S13_AnyOtherIssues][50][OtherInformationOrIssues]</v>
      </c>
    </row>
    <row r="642" spans="1:15" x14ac:dyDescent="0.3">
      <c r="A642" t="s">
        <v>1793</v>
      </c>
      <c r="B642" t="s">
        <v>2183</v>
      </c>
      <c r="C642" t="s">
        <v>2184</v>
      </c>
      <c r="D642">
        <v>51</v>
      </c>
      <c r="E642" t="s">
        <v>1447</v>
      </c>
      <c r="F642" t="s">
        <v>2185</v>
      </c>
      <c r="G642" t="s">
        <v>1862</v>
      </c>
      <c r="H642" t="s">
        <v>1799</v>
      </c>
      <c r="I642" t="s">
        <v>1799</v>
      </c>
      <c r="J642" t="s">
        <v>1799</v>
      </c>
      <c r="K642" t="s">
        <v>2193</v>
      </c>
      <c r="L642" t="s">
        <v>1799</v>
      </c>
      <c r="M642" t="s">
        <v>1799</v>
      </c>
      <c r="N642" t="s">
        <v>1799</v>
      </c>
      <c r="O642" s="184" t="str">
        <f>"["&amp;$C642&amp;"]["&amp;$D642&amp;"]["&amp;$F642&amp;"]"</f>
        <v>[S13_AnyOtherIssues][51][OtherInformationOrIssues]</v>
      </c>
    </row>
    <row r="643" spans="1:15" x14ac:dyDescent="0.3">
      <c r="A643" t="s">
        <v>1793</v>
      </c>
      <c r="B643" t="s">
        <v>2183</v>
      </c>
      <c r="C643" t="s">
        <v>2184</v>
      </c>
      <c r="D643">
        <v>71</v>
      </c>
      <c r="E643" t="s">
        <v>1447</v>
      </c>
      <c r="F643" t="s">
        <v>2185</v>
      </c>
      <c r="G643" t="s">
        <v>1862</v>
      </c>
      <c r="H643" t="s">
        <v>1799</v>
      </c>
      <c r="I643" t="s">
        <v>1799</v>
      </c>
      <c r="J643" t="s">
        <v>1799</v>
      </c>
      <c r="K643" t="s">
        <v>2194</v>
      </c>
      <c r="L643" t="s">
        <v>1799</v>
      </c>
      <c r="M643" t="s">
        <v>1799</v>
      </c>
      <c r="N643" t="s">
        <v>1799</v>
      </c>
      <c r="O643" s="184" t="str">
        <f>"["&amp;$C643&amp;"]["&amp;$D643&amp;"]["&amp;$F643&amp;"]"</f>
        <v>[S13_AnyOtherIssues][71][OtherInformationOrIssues]</v>
      </c>
    </row>
    <row r="644" spans="1:15" x14ac:dyDescent="0.3">
      <c r="A644" t="s">
        <v>1793</v>
      </c>
      <c r="B644" t="s">
        <v>2183</v>
      </c>
      <c r="C644" t="s">
        <v>2184</v>
      </c>
      <c r="D644">
        <v>72</v>
      </c>
      <c r="E644" t="s">
        <v>1447</v>
      </c>
      <c r="F644" t="s">
        <v>2185</v>
      </c>
      <c r="G644" t="s">
        <v>1862</v>
      </c>
      <c r="H644" t="s">
        <v>1799</v>
      </c>
      <c r="I644" t="s">
        <v>1799</v>
      </c>
      <c r="J644" t="s">
        <v>1799</v>
      </c>
      <c r="K644" t="s">
        <v>2195</v>
      </c>
      <c r="L644" t="s">
        <v>1799</v>
      </c>
      <c r="M644" t="s">
        <v>1799</v>
      </c>
      <c r="N644" t="s">
        <v>1799</v>
      </c>
      <c r="O644" s="184" t="str">
        <f>"["&amp;$C644&amp;"]["&amp;$D644&amp;"]["&amp;$F644&amp;"]"</f>
        <v>[S13_AnyOtherIssues][72][OtherInformationOrIssues]</v>
      </c>
    </row>
    <row r="645" spans="1:15" x14ac:dyDescent="0.3">
      <c r="A645" t="s">
        <v>1793</v>
      </c>
      <c r="B645" t="s">
        <v>2183</v>
      </c>
      <c r="C645" t="s">
        <v>2184</v>
      </c>
      <c r="D645">
        <v>73</v>
      </c>
      <c r="E645" t="s">
        <v>1447</v>
      </c>
      <c r="F645" t="s">
        <v>2185</v>
      </c>
      <c r="G645" t="s">
        <v>1862</v>
      </c>
      <c r="H645" t="s">
        <v>1799</v>
      </c>
      <c r="I645" t="s">
        <v>1799</v>
      </c>
      <c r="J645" t="s">
        <v>1799</v>
      </c>
      <c r="K645" t="s">
        <v>2196</v>
      </c>
      <c r="L645" t="s">
        <v>1799</v>
      </c>
      <c r="M645" t="s">
        <v>1799</v>
      </c>
      <c r="N645" t="s">
        <v>1799</v>
      </c>
      <c r="O645" s="184" t="str">
        <f>"["&amp;$C645&amp;"]["&amp;$D645&amp;"]["&amp;$F645&amp;"]"</f>
        <v>[S13_AnyOtherIssues][73][OtherInformationOrIssues]</v>
      </c>
    </row>
    <row r="646" spans="1:15" x14ac:dyDescent="0.3">
      <c r="A646" t="s">
        <v>1793</v>
      </c>
      <c r="B646" t="s">
        <v>2183</v>
      </c>
      <c r="C646" t="s">
        <v>2184</v>
      </c>
      <c r="D646">
        <v>74</v>
      </c>
      <c r="E646" t="s">
        <v>1447</v>
      </c>
      <c r="F646" t="s">
        <v>2185</v>
      </c>
      <c r="G646" t="s">
        <v>1862</v>
      </c>
      <c r="H646" t="s">
        <v>1799</v>
      </c>
      <c r="I646" t="s">
        <v>1799</v>
      </c>
      <c r="J646" t="s">
        <v>1799</v>
      </c>
      <c r="K646" t="s">
        <v>2197</v>
      </c>
      <c r="L646" t="s">
        <v>1799</v>
      </c>
      <c r="M646" t="s">
        <v>1799</v>
      </c>
      <c r="N646" t="s">
        <v>1799</v>
      </c>
      <c r="O646" s="184" t="str">
        <f>"["&amp;$C646&amp;"]["&amp;$D646&amp;"]["&amp;$F646&amp;"]"</f>
        <v>[S13_AnyOtherIssues][74][OtherInformationOrIssues]</v>
      </c>
    </row>
    <row r="647" spans="1:15" x14ac:dyDescent="0.3">
      <c r="A647" t="s">
        <v>1793</v>
      </c>
      <c r="B647" t="s">
        <v>2183</v>
      </c>
      <c r="C647" t="s">
        <v>2184</v>
      </c>
      <c r="D647">
        <v>84</v>
      </c>
      <c r="E647" t="s">
        <v>1447</v>
      </c>
      <c r="F647" t="s">
        <v>2185</v>
      </c>
      <c r="G647" t="s">
        <v>1862</v>
      </c>
      <c r="H647" t="s">
        <v>1799</v>
      </c>
      <c r="I647" t="s">
        <v>1799</v>
      </c>
      <c r="J647" t="s">
        <v>1799</v>
      </c>
      <c r="K647" t="s">
        <v>2198</v>
      </c>
      <c r="L647" t="s">
        <v>1799</v>
      </c>
      <c r="M647" t="s">
        <v>1799</v>
      </c>
      <c r="N647" t="s">
        <v>1799</v>
      </c>
      <c r="O647" s="184" t="str">
        <f>"["&amp;$C647&amp;"]["&amp;$D647&amp;"]["&amp;$F647&amp;"]"</f>
        <v>[S13_AnyOtherIssues][84][OtherInformationOrIssues]</v>
      </c>
    </row>
    <row r="648" spans="1:15" x14ac:dyDescent="0.3">
      <c r="A648" t="s">
        <v>1793</v>
      </c>
      <c r="B648" t="s">
        <v>2183</v>
      </c>
      <c r="C648" t="s">
        <v>2184</v>
      </c>
      <c r="D648">
        <v>85</v>
      </c>
      <c r="E648" t="s">
        <v>1447</v>
      </c>
      <c r="F648" t="s">
        <v>2185</v>
      </c>
      <c r="G648" t="s">
        <v>1862</v>
      </c>
      <c r="H648" t="s">
        <v>1799</v>
      </c>
      <c r="I648" t="s">
        <v>1799</v>
      </c>
      <c r="J648" t="s">
        <v>1799</v>
      </c>
      <c r="K648" t="s">
        <v>2198</v>
      </c>
      <c r="L648" t="s">
        <v>1799</v>
      </c>
      <c r="M648" t="s">
        <v>1799</v>
      </c>
      <c r="N648" t="s">
        <v>1799</v>
      </c>
      <c r="O648" s="184" t="str">
        <f>"["&amp;$C648&amp;"]["&amp;$D648&amp;"]["&amp;$F648&amp;"]"</f>
        <v>[S13_AnyOtherIssues][85][OtherInformationOrIssues]</v>
      </c>
    </row>
    <row r="649" spans="1:15" x14ac:dyDescent="0.3">
      <c r="A649" t="s">
        <v>1793</v>
      </c>
      <c r="B649" t="s">
        <v>2183</v>
      </c>
      <c r="C649" t="s">
        <v>2184</v>
      </c>
      <c r="D649">
        <v>12</v>
      </c>
      <c r="E649" t="s">
        <v>1447</v>
      </c>
      <c r="F649" t="s">
        <v>2199</v>
      </c>
      <c r="G649" t="s">
        <v>1737</v>
      </c>
      <c r="H649" t="s">
        <v>1799</v>
      </c>
      <c r="I649" t="s">
        <v>1799</v>
      </c>
      <c r="J649" t="s">
        <v>1799</v>
      </c>
      <c r="K649" t="s">
        <v>1799</v>
      </c>
      <c r="L649" t="s">
        <v>1621</v>
      </c>
      <c r="M649" t="s">
        <v>1799</v>
      </c>
      <c r="N649" t="s">
        <v>1799</v>
      </c>
      <c r="O649" s="184" t="str">
        <f>"["&amp;$C649&amp;"]["&amp;$D649&amp;"]["&amp;$F649&amp;"]"</f>
        <v>[S13_AnyOtherIssues][12][QuestionnaireSubQuestion]</v>
      </c>
    </row>
    <row r="650" spans="1:15" x14ac:dyDescent="0.3">
      <c r="A650" t="s">
        <v>1793</v>
      </c>
      <c r="B650" t="s">
        <v>2183</v>
      </c>
      <c r="C650" t="s">
        <v>2184</v>
      </c>
      <c r="D650">
        <v>35</v>
      </c>
      <c r="E650" t="s">
        <v>1447</v>
      </c>
      <c r="F650" t="s">
        <v>2199</v>
      </c>
      <c r="G650" t="s">
        <v>1737</v>
      </c>
      <c r="H650" t="s">
        <v>1799</v>
      </c>
      <c r="I650" t="s">
        <v>1799</v>
      </c>
      <c r="J650" t="s">
        <v>1799</v>
      </c>
      <c r="K650" t="s">
        <v>1799</v>
      </c>
      <c r="L650" t="s">
        <v>1677</v>
      </c>
      <c r="M650" t="s">
        <v>1799</v>
      </c>
      <c r="N650" t="s">
        <v>1799</v>
      </c>
      <c r="O650" s="184" t="str">
        <f>"["&amp;$C650&amp;"]["&amp;$D650&amp;"]["&amp;$F650&amp;"]"</f>
        <v>[S13_AnyOtherIssues][35][QuestionnaireSubQuestion]</v>
      </c>
    </row>
    <row r="651" spans="1:15" x14ac:dyDescent="0.3">
      <c r="A651" t="s">
        <v>1793</v>
      </c>
      <c r="B651" t="s">
        <v>2183</v>
      </c>
      <c r="C651" t="s">
        <v>2184</v>
      </c>
      <c r="D651">
        <v>36</v>
      </c>
      <c r="E651" t="s">
        <v>1447</v>
      </c>
      <c r="F651" t="s">
        <v>2199</v>
      </c>
      <c r="G651" t="s">
        <v>1737</v>
      </c>
      <c r="H651" t="s">
        <v>1799</v>
      </c>
      <c r="I651" t="s">
        <v>1799</v>
      </c>
      <c r="J651" t="s">
        <v>1799</v>
      </c>
      <c r="K651" t="s">
        <v>1799</v>
      </c>
      <c r="L651" t="s">
        <v>1678</v>
      </c>
      <c r="M651" t="s">
        <v>1799</v>
      </c>
      <c r="N651" t="s">
        <v>1799</v>
      </c>
      <c r="O651" s="184" t="str">
        <f>"["&amp;$C651&amp;"]["&amp;$D651&amp;"]["&amp;$F651&amp;"]"</f>
        <v>[S13_AnyOtherIssues][36][QuestionnaireSubQuestion]</v>
      </c>
    </row>
    <row r="652" spans="1:15" x14ac:dyDescent="0.3">
      <c r="A652" t="s">
        <v>1793</v>
      </c>
      <c r="B652" t="s">
        <v>2183</v>
      </c>
      <c r="C652" t="s">
        <v>2184</v>
      </c>
      <c r="D652">
        <v>37</v>
      </c>
      <c r="E652" t="s">
        <v>1447</v>
      </c>
      <c r="F652" t="s">
        <v>2199</v>
      </c>
      <c r="G652" t="s">
        <v>1737</v>
      </c>
      <c r="H652" t="s">
        <v>1799</v>
      </c>
      <c r="I652" t="s">
        <v>1799</v>
      </c>
      <c r="J652" t="s">
        <v>1799</v>
      </c>
      <c r="K652" t="s">
        <v>1799</v>
      </c>
      <c r="L652" t="s">
        <v>1679</v>
      </c>
      <c r="M652" t="s">
        <v>1799</v>
      </c>
      <c r="N652" t="s">
        <v>1799</v>
      </c>
      <c r="O652" s="184" t="str">
        <f>"["&amp;$C652&amp;"]["&amp;$D652&amp;"]["&amp;$F652&amp;"]"</f>
        <v>[S13_AnyOtherIssues][37][QuestionnaireSubQuestion]</v>
      </c>
    </row>
    <row r="653" spans="1:15" x14ac:dyDescent="0.3">
      <c r="A653" t="s">
        <v>1793</v>
      </c>
      <c r="B653" t="s">
        <v>2183</v>
      </c>
      <c r="C653" t="s">
        <v>2184</v>
      </c>
      <c r="D653">
        <v>38</v>
      </c>
      <c r="E653" t="s">
        <v>1447</v>
      </c>
      <c r="F653" t="s">
        <v>2199</v>
      </c>
      <c r="G653" t="s">
        <v>1737</v>
      </c>
      <c r="H653" t="s">
        <v>1799</v>
      </c>
      <c r="I653" t="s">
        <v>1799</v>
      </c>
      <c r="J653" t="s">
        <v>1799</v>
      </c>
      <c r="K653" t="s">
        <v>1799</v>
      </c>
      <c r="L653" t="s">
        <v>1684</v>
      </c>
      <c r="M653" t="s">
        <v>1799</v>
      </c>
      <c r="N653" t="s">
        <v>1799</v>
      </c>
      <c r="O653" s="184" t="str">
        <f>"["&amp;$C653&amp;"]["&amp;$D653&amp;"]["&amp;$F653&amp;"]"</f>
        <v>[S13_AnyOtherIssues][38][QuestionnaireSubQuestion]</v>
      </c>
    </row>
    <row r="654" spans="1:15" x14ac:dyDescent="0.3">
      <c r="A654" t="s">
        <v>1793</v>
      </c>
      <c r="B654" t="s">
        <v>2183</v>
      </c>
      <c r="C654" t="s">
        <v>2184</v>
      </c>
      <c r="D654">
        <v>39</v>
      </c>
      <c r="E654" t="s">
        <v>1447</v>
      </c>
      <c r="F654" t="s">
        <v>2199</v>
      </c>
      <c r="G654" t="s">
        <v>1737</v>
      </c>
      <c r="H654" t="s">
        <v>1799</v>
      </c>
      <c r="I654" t="s">
        <v>1799</v>
      </c>
      <c r="J654" t="s">
        <v>1799</v>
      </c>
      <c r="K654" t="s">
        <v>1799</v>
      </c>
      <c r="L654" t="s">
        <v>1677</v>
      </c>
      <c r="M654" t="s">
        <v>1799</v>
      </c>
      <c r="N654" t="s">
        <v>1799</v>
      </c>
      <c r="O654" s="184" t="str">
        <f>"["&amp;$C654&amp;"]["&amp;$D654&amp;"]["&amp;$F654&amp;"]"</f>
        <v>[S13_AnyOtherIssues][39][QuestionnaireSubQuestion]</v>
      </c>
    </row>
    <row r="655" spans="1:15" x14ac:dyDescent="0.3">
      <c r="A655" t="s">
        <v>1793</v>
      </c>
      <c r="B655" t="s">
        <v>2183</v>
      </c>
      <c r="C655" t="s">
        <v>2184</v>
      </c>
      <c r="D655">
        <v>47</v>
      </c>
      <c r="E655" t="s">
        <v>1447</v>
      </c>
      <c r="F655" t="s">
        <v>2199</v>
      </c>
      <c r="G655" t="s">
        <v>1737</v>
      </c>
      <c r="H655" t="s">
        <v>1799</v>
      </c>
      <c r="I655" t="s">
        <v>1799</v>
      </c>
      <c r="J655" t="s">
        <v>1799</v>
      </c>
      <c r="K655" t="s">
        <v>1799</v>
      </c>
      <c r="L655" t="s">
        <v>1689</v>
      </c>
      <c r="M655" t="s">
        <v>1799</v>
      </c>
      <c r="N655" t="s">
        <v>1799</v>
      </c>
      <c r="O655" s="184" t="str">
        <f>"["&amp;$C655&amp;"]["&amp;$D655&amp;"]["&amp;$F655&amp;"]"</f>
        <v>[S13_AnyOtherIssues][47][QuestionnaireSubQuestion]</v>
      </c>
    </row>
    <row r="656" spans="1:15" x14ac:dyDescent="0.3">
      <c r="A656" t="s">
        <v>1793</v>
      </c>
      <c r="B656" t="s">
        <v>2183</v>
      </c>
      <c r="C656" t="s">
        <v>2184</v>
      </c>
      <c r="D656">
        <v>50</v>
      </c>
      <c r="E656" t="s">
        <v>1447</v>
      </c>
      <c r="F656" t="s">
        <v>2199</v>
      </c>
      <c r="G656" t="s">
        <v>1737</v>
      </c>
      <c r="H656" t="s">
        <v>1799</v>
      </c>
      <c r="I656" t="s">
        <v>1799</v>
      </c>
      <c r="J656" t="s">
        <v>1799</v>
      </c>
      <c r="K656" t="s">
        <v>1799</v>
      </c>
      <c r="L656" t="s">
        <v>1706</v>
      </c>
      <c r="M656" t="s">
        <v>1799</v>
      </c>
      <c r="N656" t="s">
        <v>1799</v>
      </c>
      <c r="O656" s="184" t="str">
        <f>"["&amp;$C656&amp;"]["&amp;$D656&amp;"]["&amp;$F656&amp;"]"</f>
        <v>[S13_AnyOtherIssues][50][QuestionnaireSubQuestion]</v>
      </c>
    </row>
    <row r="657" spans="1:15" x14ac:dyDescent="0.3">
      <c r="A657" t="s">
        <v>1793</v>
      </c>
      <c r="B657" t="s">
        <v>2183</v>
      </c>
      <c r="C657" t="s">
        <v>2184</v>
      </c>
      <c r="D657">
        <v>51</v>
      </c>
      <c r="E657" t="s">
        <v>1447</v>
      </c>
      <c r="F657" t="s">
        <v>2199</v>
      </c>
      <c r="G657" t="s">
        <v>1737</v>
      </c>
      <c r="H657" t="s">
        <v>1799</v>
      </c>
      <c r="I657" t="s">
        <v>1799</v>
      </c>
      <c r="J657" t="s">
        <v>1799</v>
      </c>
      <c r="K657" t="s">
        <v>1799</v>
      </c>
      <c r="L657" t="s">
        <v>1707</v>
      </c>
      <c r="M657" t="s">
        <v>1799</v>
      </c>
      <c r="N657" t="s">
        <v>1799</v>
      </c>
      <c r="O657" s="184" t="str">
        <f>"["&amp;$C657&amp;"]["&amp;$D657&amp;"]["&amp;$F657&amp;"]"</f>
        <v>[S13_AnyOtherIssues][51][QuestionnaireSubQuestion]</v>
      </c>
    </row>
    <row r="658" spans="1:15" x14ac:dyDescent="0.3">
      <c r="A658" t="s">
        <v>1793</v>
      </c>
      <c r="B658" t="s">
        <v>2183</v>
      </c>
      <c r="C658" t="s">
        <v>2184</v>
      </c>
      <c r="D658">
        <v>71</v>
      </c>
      <c r="E658" t="s">
        <v>1447</v>
      </c>
      <c r="F658" t="s">
        <v>2199</v>
      </c>
      <c r="G658" t="s">
        <v>1737</v>
      </c>
      <c r="H658" t="s">
        <v>1799</v>
      </c>
      <c r="I658" t="s">
        <v>1799</v>
      </c>
      <c r="J658" t="s">
        <v>1799</v>
      </c>
      <c r="K658" t="s">
        <v>1799</v>
      </c>
      <c r="L658" t="s">
        <v>1713</v>
      </c>
      <c r="M658" t="s">
        <v>1799</v>
      </c>
      <c r="N658" t="s">
        <v>1799</v>
      </c>
      <c r="O658" s="184" t="str">
        <f>"["&amp;$C658&amp;"]["&amp;$D658&amp;"]["&amp;$F658&amp;"]"</f>
        <v>[S13_AnyOtherIssues][71][QuestionnaireSubQuestion]</v>
      </c>
    </row>
    <row r="659" spans="1:15" x14ac:dyDescent="0.3">
      <c r="A659" t="s">
        <v>1793</v>
      </c>
      <c r="B659" t="s">
        <v>2183</v>
      </c>
      <c r="C659" t="s">
        <v>2184</v>
      </c>
      <c r="D659">
        <v>72</v>
      </c>
      <c r="E659" t="s">
        <v>1447</v>
      </c>
      <c r="F659" t="s">
        <v>2199</v>
      </c>
      <c r="G659" t="s">
        <v>1737</v>
      </c>
      <c r="H659" t="s">
        <v>1799</v>
      </c>
      <c r="I659" t="s">
        <v>1799</v>
      </c>
      <c r="J659" t="s">
        <v>1799</v>
      </c>
      <c r="K659" t="s">
        <v>1799</v>
      </c>
      <c r="L659" t="s">
        <v>1714</v>
      </c>
      <c r="M659" t="s">
        <v>1799</v>
      </c>
      <c r="N659" t="s">
        <v>1799</v>
      </c>
      <c r="O659" s="184" t="str">
        <f>"["&amp;$C659&amp;"]["&amp;$D659&amp;"]["&amp;$F659&amp;"]"</f>
        <v>[S13_AnyOtherIssues][72][QuestionnaireSubQuestion]</v>
      </c>
    </row>
    <row r="660" spans="1:15" x14ac:dyDescent="0.3">
      <c r="A660" t="s">
        <v>1793</v>
      </c>
      <c r="B660" t="s">
        <v>2183</v>
      </c>
      <c r="C660" t="s">
        <v>2184</v>
      </c>
      <c r="D660">
        <v>73</v>
      </c>
      <c r="E660" t="s">
        <v>1447</v>
      </c>
      <c r="F660" t="s">
        <v>2199</v>
      </c>
      <c r="G660" t="s">
        <v>1737</v>
      </c>
      <c r="H660" t="s">
        <v>1799</v>
      </c>
      <c r="I660" t="s">
        <v>1799</v>
      </c>
      <c r="J660" t="s">
        <v>1799</v>
      </c>
      <c r="K660" t="s">
        <v>1799</v>
      </c>
      <c r="L660" t="s">
        <v>1717</v>
      </c>
      <c r="M660" t="s">
        <v>1799</v>
      </c>
      <c r="N660" t="s">
        <v>1799</v>
      </c>
      <c r="O660" s="184" t="str">
        <f>"["&amp;$C660&amp;"]["&amp;$D660&amp;"]["&amp;$F660&amp;"]"</f>
        <v>[S13_AnyOtherIssues][73][QuestionnaireSubQuestion]</v>
      </c>
    </row>
    <row r="661" spans="1:15" x14ac:dyDescent="0.3">
      <c r="A661" t="s">
        <v>1793</v>
      </c>
      <c r="B661" t="s">
        <v>2183</v>
      </c>
      <c r="C661" t="s">
        <v>2184</v>
      </c>
      <c r="D661">
        <v>74</v>
      </c>
      <c r="E661" t="s">
        <v>1447</v>
      </c>
      <c r="F661" t="s">
        <v>2199</v>
      </c>
      <c r="G661" t="s">
        <v>1737</v>
      </c>
      <c r="H661" t="s">
        <v>1799</v>
      </c>
      <c r="I661" t="s">
        <v>1799</v>
      </c>
      <c r="J661" t="s">
        <v>1799</v>
      </c>
      <c r="K661" t="s">
        <v>1799</v>
      </c>
      <c r="L661" t="s">
        <v>1718</v>
      </c>
      <c r="M661" t="s">
        <v>1799</v>
      </c>
      <c r="N661" t="s">
        <v>1799</v>
      </c>
      <c r="O661" s="184" t="str">
        <f>"["&amp;$C661&amp;"]["&amp;$D661&amp;"]["&amp;$F661&amp;"]"</f>
        <v>[S13_AnyOtherIssues][74][QuestionnaireSubQuestion]</v>
      </c>
    </row>
    <row r="662" spans="1:15" x14ac:dyDescent="0.3">
      <c r="A662" t="s">
        <v>1793</v>
      </c>
      <c r="B662" t="s">
        <v>2183</v>
      </c>
      <c r="C662" t="s">
        <v>2184</v>
      </c>
      <c r="D662">
        <v>84</v>
      </c>
      <c r="E662" t="s">
        <v>1447</v>
      </c>
      <c r="F662" t="s">
        <v>2199</v>
      </c>
      <c r="G662" t="s">
        <v>1737</v>
      </c>
      <c r="H662" t="s">
        <v>1799</v>
      </c>
      <c r="I662" t="s">
        <v>1799</v>
      </c>
      <c r="J662" t="s">
        <v>1799</v>
      </c>
      <c r="K662" t="s">
        <v>1799</v>
      </c>
      <c r="L662" t="s">
        <v>1724</v>
      </c>
      <c r="M662" t="s">
        <v>1799</v>
      </c>
      <c r="N662" t="s">
        <v>1799</v>
      </c>
      <c r="O662" s="184" t="str">
        <f>"["&amp;$C662&amp;"]["&amp;$D662&amp;"]["&amp;$F662&amp;"]"</f>
        <v>[S13_AnyOtherIssues][84][QuestionnaireSubQuestion]</v>
      </c>
    </row>
    <row r="663" spans="1:15" x14ac:dyDescent="0.3">
      <c r="A663" t="s">
        <v>1793</v>
      </c>
      <c r="B663" t="s">
        <v>2183</v>
      </c>
      <c r="C663" t="s">
        <v>2184</v>
      </c>
      <c r="D663">
        <v>85</v>
      </c>
      <c r="E663" t="s">
        <v>1447</v>
      </c>
      <c r="F663" t="s">
        <v>2199</v>
      </c>
      <c r="G663" t="s">
        <v>1737</v>
      </c>
      <c r="H663" t="s">
        <v>1799</v>
      </c>
      <c r="I663" t="s">
        <v>1799</v>
      </c>
      <c r="J663" t="s">
        <v>1799</v>
      </c>
      <c r="K663" t="s">
        <v>1799</v>
      </c>
      <c r="L663" t="s">
        <v>1725</v>
      </c>
      <c r="M663" t="s">
        <v>1799</v>
      </c>
      <c r="N663" t="s">
        <v>1799</v>
      </c>
      <c r="O663" s="184" t="str">
        <f>"["&amp;$C663&amp;"]["&amp;$D663&amp;"]["&amp;$F663&amp;"]"</f>
        <v>[S13_AnyOtherIssues][85][QuestionnaireSubQuestion]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
      </c>
      <c r="D8" s="284" t="str">
        <f>_xlfn.CONCAT(_xlfn.XLOOKUP("[S07_NoFurtherAllowancesSurrendered][1][OperatorName]",Submission!$O:$O,Submission!$H:$N,""))</f>
        <v/>
      </c>
      <c r="E8" s="285"/>
      <c r="F8" s="284" t="str">
        <f>_xlfn.CONCAT(_xlfn.XLOOKUP("[S07_NoFurtherAllowancesSurrendered][1][InstallationName]",Submission!$O:$O,Submission!$H:$N,""))</f>
        <v/>
      </c>
      <c r="G8" s="285"/>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Yes</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No</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
      </c>
      <c r="H20" s="459"/>
      <c r="I20" s="460"/>
    </row>
    <row r="21" spans="1:9" x14ac:dyDescent="0.3">
      <c r="C21" s="461" t="s">
        <v>1148</v>
      </c>
      <c r="D21" s="462"/>
      <c r="E21" s="462"/>
      <c r="F21" s="463"/>
      <c r="G21" s="458" t="str">
        <f>_xlfn.CONCAT(_xlfn.XLOOKUP("[S08_FeesAllocationDetail][2][FeeAmount]",Submission!$O:$O,Submission!$H:$N,""))</f>
        <v/>
      </c>
      <c r="H21" s="459"/>
      <c r="I21" s="460"/>
    </row>
    <row r="22" spans="1:9" x14ac:dyDescent="0.3">
      <c r="C22" s="461" t="s">
        <v>697</v>
      </c>
      <c r="D22" s="462"/>
      <c r="E22" s="251" t="str">
        <f>_xlfn.CONCAT(_xlfn.XLOOKUP("[S08_FeesAllocationDetail][3][FeeOther]",Submission!$O:$O,Submission!$H:$N,""))</f>
        <v/>
      </c>
      <c r="F22" s="252"/>
      <c r="G22" s="458" t="str">
        <f>_xlfn.CONCAT(_xlfn.XLOOKUP("[S08_FeesAllocationDetail][3][FeeAmount]",Submission!$O:$O,Submission!$H:$N,""))</f>
        <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No</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0</v>
      </c>
      <c r="H33" s="476"/>
      <c r="I33" s="477"/>
    </row>
    <row r="34" spans="1:9" ht="28.95" customHeight="1" x14ac:dyDescent="0.3">
      <c r="C34" s="303" t="s">
        <v>1156</v>
      </c>
      <c r="D34" s="304"/>
      <c r="E34" s="304"/>
      <c r="F34" s="305"/>
      <c r="G34" s="475" t="str">
        <f>_xlfn.CONCAT(_xlfn.XLOOKUP("[S08_RenunciationSuspensionAllowances][2][NumberOfInstallations]",Submission!$O:$O,Submission!$H:$N,""))</f>
        <v>0</v>
      </c>
      <c r="H34" s="476"/>
      <c r="I34" s="477"/>
    </row>
    <row r="35" spans="1:9" ht="27" customHeight="1" x14ac:dyDescent="0.3">
      <c r="C35" s="303" t="s">
        <v>1157</v>
      </c>
      <c r="D35" s="304"/>
      <c r="E35" s="304"/>
      <c r="F35" s="305"/>
      <c r="G35" s="475" t="str">
        <f>_xlfn.CONCAT(_xlfn.XLOOKUP("[S08_RenunciationSuspensionAllowances][3][NumberOfInstallations]",Submission!$O:$O,Submission!$H:$N,""))</f>
        <v>9</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No</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
      </c>
      <c r="D40" s="470"/>
      <c r="E40" s="470"/>
      <c r="F40" s="471"/>
      <c r="G40" s="469" t="str">
        <f>_xlfn.CONCAT(_xlfn.XLOOKUP("[S08_SubInstallationBenchmark61Detail][1][HeatBenchmark]",Submission!$O:$O,Submission!$H:$N,""))</f>
        <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No</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
      </c>
      <c r="D45" s="470"/>
      <c r="E45" s="470"/>
      <c r="F45" s="471"/>
      <c r="G45" s="469" t="str">
        <f>_xlfn.CONCAT(_xlfn.XLOOKUP("[S08_SubInstallationBenchmark61RejectDetail][1][HeatBenchmark]",Submission!$O:$O,Submission!$H:$N,""))</f>
        <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No</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
      </c>
      <c r="D50" s="470"/>
      <c r="E50" s="470"/>
      <c r="F50" s="471"/>
      <c r="G50" s="469" t="str">
        <f>_xlfn.CONCAT(_xlfn.XLOOKUP("[S08_SubInstallationBenchmark62Detail][1][HeatBenchmark]",Submission!$O:$O,Submission!$H:$N,""))</f>
        <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0</v>
      </c>
      <c r="H54" s="476"/>
      <c r="I54" s="477"/>
    </row>
    <row r="55" spans="1:9" ht="29.4" customHeight="1" x14ac:dyDescent="0.3">
      <c r="C55" s="246" t="s">
        <v>1168</v>
      </c>
      <c r="D55" s="263"/>
      <c r="E55" s="263"/>
      <c r="F55" s="264"/>
      <c r="G55" s="475" t="str">
        <f>_xlfn.CONCAT(_xlfn.XLOOKUP("[S08_ScopeExclusion][2][NumberOfInstallations]",Submission!$O:$O,Submission!$H:$N,""))</f>
        <v>1</v>
      </c>
      <c r="H55" s="476"/>
      <c r="I55" s="477"/>
    </row>
    <row r="56" spans="1:9" ht="29.4" customHeight="1" x14ac:dyDescent="0.3">
      <c r="C56" s="246" t="s">
        <v>1169</v>
      </c>
      <c r="D56" s="263"/>
      <c r="E56" s="263"/>
      <c r="F56" s="264"/>
      <c r="G56" s="475" t="str">
        <f>_xlfn.CONCAT(_xlfn.XLOOKUP("[S08_ScopeExclusion][3][NumberOfInstallations]",Submission!$O:$O,Submission!$H:$N,""))</f>
        <v>0</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0</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
      </c>
      <c r="I75" s="356"/>
    </row>
    <row r="76" spans="1:9" ht="19.95" customHeight="1" x14ac:dyDescent="0.3">
      <c r="C76" s="246" t="s">
        <v>1185</v>
      </c>
      <c r="D76" s="263"/>
      <c r="E76" s="263"/>
      <c r="F76" s="263"/>
      <c r="G76" s="264"/>
      <c r="H76" s="341" t="str">
        <f>_xlfn.CONCAT(_xlfn.XLOOKUP("[S08_NegativeOpinionBaselineData][2][NumberOfInstallations]",Submission!$O:$O,Submission!$H:$N,""))</f>
        <v/>
      </c>
      <c r="I76" s="356"/>
    </row>
    <row r="77" spans="1:9" ht="19.95" customHeight="1" x14ac:dyDescent="0.3">
      <c r="C77" s="246" t="s">
        <v>1186</v>
      </c>
      <c r="D77" s="263"/>
      <c r="E77" s="263"/>
      <c r="F77" s="263"/>
      <c r="G77" s="264"/>
      <c r="H77" s="341" t="str">
        <f>_xlfn.CONCAT(_xlfn.XLOOKUP("[S08_NegativeOpinionBaselineData][3][NumberOfInstallations]",Submission!$O:$O,Submission!$H:$N,""))</f>
        <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No</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0</v>
      </c>
      <c r="G149" s="372"/>
      <c r="H149" s="372" t="str">
        <f>_xlfn.CONCAT(_xlfn.XLOOKUP("[S08_NegativeOpinionActivityData][1][NumberOfInstallationsConEst]",Submission!$O:$O,Submission!$H:$N,""))</f>
        <v>0</v>
      </c>
      <c r="I149" s="372"/>
    </row>
    <row r="150" spans="1:9" s="95" customFormat="1" ht="27.75" customHeight="1" x14ac:dyDescent="0.3">
      <c r="A150" s="94"/>
      <c r="C150" s="354" t="s">
        <v>1201</v>
      </c>
      <c r="D150" s="354"/>
      <c r="E150" s="354"/>
      <c r="F150" s="372" t="str">
        <f>_xlfn.CONCAT(_xlfn.XLOOKUP("[S08_NegativeOpinionActivityData][2][NumberOfInstallations]",Submission!$O:$O,Submission!$H:$N,""))</f>
        <v>0</v>
      </c>
      <c r="G150" s="372"/>
      <c r="H150" s="372" t="str">
        <f>_xlfn.CONCAT(_xlfn.XLOOKUP("[S08_NegativeOpinionActivityData][2][NumberOfInstallationsConEst]",Submission!$O:$O,Submission!$H:$N,""))</f>
        <v>0</v>
      </c>
      <c r="I150" s="372"/>
    </row>
    <row r="151" spans="1:9" s="95" customFormat="1" ht="27.75" customHeight="1" x14ac:dyDescent="0.3">
      <c r="A151" s="94"/>
      <c r="C151" s="354" t="s">
        <v>1202</v>
      </c>
      <c r="D151" s="354"/>
      <c r="E151" s="354"/>
      <c r="F151" s="372" t="str">
        <f>_xlfn.CONCAT(_xlfn.XLOOKUP("[S08_NegativeOpinionActivityData][3][NumberOfInstallations]",Submission!$O:$O,Submission!$H:$N,""))</f>
        <v>0</v>
      </c>
      <c r="G151" s="372"/>
      <c r="H151" s="372" t="str">
        <f>_xlfn.CONCAT(_xlfn.XLOOKUP("[S08_NegativeOpinionActivityData][3][NumberOfInstallationsConEst]",Submission!$O:$O,Submission!$H:$N,""))</f>
        <v>0</v>
      </c>
      <c r="I151" s="372"/>
    </row>
    <row r="152" spans="1:9" s="95" customFormat="1" ht="27.75" customHeight="1" x14ac:dyDescent="0.3">
      <c r="A152" s="94"/>
      <c r="C152" s="354" t="s">
        <v>1203</v>
      </c>
      <c r="D152" s="354"/>
      <c r="E152" s="354"/>
      <c r="F152" s="372" t="str">
        <f>_xlfn.CONCAT(_xlfn.XLOOKUP("[S08_NegativeOpinionActivityData][4][NumberOfInstallations]",Submission!$O:$O,Submission!$H:$N,""))</f>
        <v>0</v>
      </c>
      <c r="G152" s="372"/>
      <c r="H152" s="372" t="str">
        <f>_xlfn.CONCAT(_xlfn.XLOOKUP("[S08_NegativeOpinionActivityData][4][NumberOfInstallationsConEst]",Submission!$O:$O,Submission!$H:$N,""))</f>
        <v>0</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Yes</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20 - Combustion of fuels as specified in Annex I of Directive 2003/87/EC</v>
      </c>
      <c r="D157" s="285"/>
      <c r="E157" s="72" t="str">
        <f>_xlfn.CONCAT(_xlfn.XLOOKUP("[S08_ActivityDataIssuesDetail]["&amp;ROW(B157)-ROW($B$156)&amp;"][TypeOfIssue]",Submission!$O:$O,Submission!$H:$N,""))</f>
        <v>Non-conformities not leading to a negative verification opinion statement</v>
      </c>
      <c r="F157" s="106" t="str">
        <f>_xlfn.CONCAT(_xlfn.XLOOKUP("[S08_ActivityDataIssuesDetail]["&amp;ROW(B157)-ROW($B$156)&amp;"][NumberOfInstallations]",Submission!$O:$O,Submission!$H:$N,""))</f>
        <v>4</v>
      </c>
      <c r="G157" s="106" t="str">
        <f>_xlfn.CONCAT(_xlfn.XLOOKUP("[S08_ActivityDataIssuesDetail]["&amp;ROW(B157)-ROW($B$156)&amp;"][NumberOfIssues]",Submission!$O:$O,Submission!$H:$N,""))</f>
        <v>4</v>
      </c>
      <c r="H157" s="452" t="str">
        <f>_xlfn.CONCAT(_xlfn.XLOOKUP("[S08_ActivityDataIssuesDetail]["&amp;ROW(B157)-ROW($B$156)&amp;"][NumberOfInstallationsConEst]",Submission!$O:$O,Submission!$H:$N,""))</f>
        <v>0</v>
      </c>
      <c r="I157" s="453"/>
    </row>
    <row r="158" spans="1:9" ht="54" customHeight="1" x14ac:dyDescent="0.3">
      <c r="C158" s="284" t="str">
        <f>_xlfn.CONCAT(_xlfn.XLOOKUP("[S08_ActivityDataIssuesDetail]["&amp;ROW(B158)-ROW($B$156)&amp;"][AnnexIActivity]",Submission!$O:$O,Submission!$H:$N,""))</f>
        <v>35 - Production of pulp as specified in Annex I of Directive 2003/87/EC</v>
      </c>
      <c r="D158" s="285"/>
      <c r="E158" s="72" t="str">
        <f>_xlfn.CONCAT(_xlfn.XLOOKUP("[S08_ActivityDataIssuesDetail]["&amp;ROW(B158)-ROW($B$156)&amp;"][TypeOfIssue]",Submission!$O:$O,Submission!$H:$N,""))</f>
        <v>Non-conformities not leading to a negative verification opinion statement</v>
      </c>
      <c r="F158" s="106" t="str">
        <f>_xlfn.CONCAT(_xlfn.XLOOKUP("[S08_ActivityDataIssuesDetail]["&amp;ROW(B158)-ROW($B$156)&amp;"][NumberOfInstallations]",Submission!$O:$O,Submission!$H:$N,""))</f>
        <v>1</v>
      </c>
      <c r="G158" s="106" t="str">
        <f>_xlfn.CONCAT(_xlfn.XLOOKUP("[S08_ActivityDataIssuesDetail]["&amp;ROW(B158)-ROW($B$156)&amp;"][NumberOfIssues]",Submission!$O:$O,Submission!$H:$N,""))</f>
        <v>1</v>
      </c>
      <c r="H158" s="452" t="str">
        <f>_xlfn.CONCAT(_xlfn.XLOOKUP("[S08_ActivityDataIssuesDetail]["&amp;ROW(B158)-ROW($B$156)&amp;"][NumberOfInstallationsConEst]",Submission!$O:$O,Submission!$H:$N,""))</f>
        <v>0</v>
      </c>
      <c r="I158" s="453"/>
    </row>
    <row r="159" spans="1:9" ht="54" customHeight="1" x14ac:dyDescent="0.3">
      <c r="C159" s="284" t="str">
        <f>_xlfn.CONCAT(_xlfn.XLOOKUP("[S08_ActivityDataIssuesDetail]["&amp;ROW(B159)-ROW($B$156)&amp;"][AnnexIActivity]",Submission!$O:$O,Submission!$H:$N,""))</f>
        <v>20 - Combustion of fuels as specified in Annex I of Directive 2003/87/EC</v>
      </c>
      <c r="D159" s="285"/>
      <c r="E159" s="72" t="str">
        <f>_xlfn.CONCAT(_xlfn.XLOOKUP("[S08_ActivityDataIssuesDetail]["&amp;ROW(B159)-ROW($B$156)&amp;"][TypeOfIssue]",Submission!$O:$O,Submission!$H:$N,""))</f>
        <v>Non-compliance with Delegated Regulation 2019/331 and Implementing Regulation 2019/1842</v>
      </c>
      <c r="F159" s="106" t="str">
        <f>_xlfn.CONCAT(_xlfn.XLOOKUP("[S08_ActivityDataIssuesDetail]["&amp;ROW(B159)-ROW($B$156)&amp;"][NumberOfInstallations]",Submission!$O:$O,Submission!$H:$N,""))</f>
        <v>1</v>
      </c>
      <c r="G159" s="106" t="str">
        <f>_xlfn.CONCAT(_xlfn.XLOOKUP("[S08_ActivityDataIssuesDetail]["&amp;ROW(B159)-ROW($B$156)&amp;"][NumberOfIssues]",Submission!$O:$O,Submission!$H:$N,""))</f>
        <v>1</v>
      </c>
      <c r="H159" s="452" t="str">
        <f>_xlfn.CONCAT(_xlfn.XLOOKUP("[S08_ActivityDataIssuesDetail]["&amp;ROW(B159)-ROW($B$156)&amp;"][NumberOfInstallationsConEst]",Submission!$O:$O,Submission!$H:$N,""))</f>
        <v>0</v>
      </c>
      <c r="I159" s="453"/>
    </row>
    <row r="160" spans="1:9" ht="54" customHeight="1" x14ac:dyDescent="0.3">
      <c r="C160" s="284" t="str">
        <f>_xlfn.CONCAT(_xlfn.XLOOKUP("[S08_ActivityDataIssuesDetail]["&amp;ROW(B160)-ROW($B$156)&amp;"][AnnexIActivity]",Submission!$O:$O,Submission!$H:$N,""))</f>
        <v>21 - Refining of mineral oil</v>
      </c>
      <c r="D160" s="285"/>
      <c r="E160" s="72" t="str">
        <f>_xlfn.CONCAT(_xlfn.XLOOKUP("[S08_ActivityDataIssuesDetail]["&amp;ROW(B160)-ROW($B$156)&amp;"][TypeOfIssue]",Submission!$O:$O,Submission!$H:$N,""))</f>
        <v>Non-compliance with Delegated Regulation 2019/331 and Implementing Regulation 2019/1842</v>
      </c>
      <c r="F160" s="106" t="str">
        <f>_xlfn.CONCAT(_xlfn.XLOOKUP("[S08_ActivityDataIssuesDetail]["&amp;ROW(B160)-ROW($B$156)&amp;"][NumberOfInstallations]",Submission!$O:$O,Submission!$H:$N,""))</f>
        <v>1</v>
      </c>
      <c r="G160" s="106" t="str">
        <f>_xlfn.CONCAT(_xlfn.XLOOKUP("[S08_ActivityDataIssuesDetail]["&amp;ROW(B160)-ROW($B$156)&amp;"][NumberOfIssues]",Submission!$O:$O,Submission!$H:$N,""))</f>
        <v>1</v>
      </c>
      <c r="H160" s="452" t="str">
        <f>_xlfn.CONCAT(_xlfn.XLOOKUP("[S08_ActivityDataIssuesDetail]["&amp;ROW(B160)-ROW($B$156)&amp;"][NumberOfInstallationsConEst]",Submission!$O:$O,Submission!$H:$N,""))</f>
        <v>0</v>
      </c>
      <c r="I160" s="453"/>
    </row>
    <row r="161" spans="3:9" ht="54" customHeight="1" x14ac:dyDescent="0.3">
      <c r="C161" s="284" t="str">
        <f>_xlfn.CONCAT(_xlfn.XLOOKUP("[S08_ActivityDataIssuesDetail]["&amp;ROW(B161)-ROW($B$156)&amp;"][AnnexIActivity]",Submission!$O:$O,Submission!$H:$N,""))</f>
        <v>20 - Combustion of fuels as specified in Annex I of Directive 2003/87/EC</v>
      </c>
      <c r="D161" s="285"/>
      <c r="E161" s="72" t="str">
        <f>_xlfn.CONCAT(_xlfn.XLOOKUP("[S08_ActivityDataIssuesDetail]["&amp;ROW(B161)-ROW($B$156)&amp;"][TypeOfIssue]",Submission!$O:$O,Submission!$H:$N,""))</f>
        <v>Recommendations for improvement</v>
      </c>
      <c r="F161" s="106" t="str">
        <f>_xlfn.CONCAT(_xlfn.XLOOKUP("[S08_ActivityDataIssuesDetail]["&amp;ROW(B161)-ROW($B$156)&amp;"][NumberOfInstallations]",Submission!$O:$O,Submission!$H:$N,""))</f>
        <v>9</v>
      </c>
      <c r="G161" s="106" t="str">
        <f>_xlfn.CONCAT(_xlfn.XLOOKUP("[S08_ActivityDataIssuesDetail]["&amp;ROW(B161)-ROW($B$156)&amp;"][NumberOfIssues]",Submission!$O:$O,Submission!$H:$N,""))</f>
        <v>9</v>
      </c>
      <c r="H161" s="452" t="str">
        <f>_xlfn.CONCAT(_xlfn.XLOOKUP("[S08_ActivityDataIssuesDetail]["&amp;ROW(B161)-ROW($B$156)&amp;"][NumberOfInstallationsConEst]",Submission!$O:$O,Submission!$H:$N,""))</f>
        <v>0</v>
      </c>
      <c r="I161" s="453"/>
    </row>
    <row r="162" spans="3:9" ht="54" customHeight="1" x14ac:dyDescent="0.3">
      <c r="C162" s="284" t="str">
        <f>_xlfn.CONCAT(_xlfn.XLOOKUP("[S08_ActivityDataIssuesDetail]["&amp;ROW(B162)-ROW($B$156)&amp;"][AnnexIActivity]",Submission!$O:$O,Submission!$H:$N,""))</f>
        <v>30 - Production of lime or calcination of dolomite or magnesite as specified in Annex I of Directive 2003/87/ EC</v>
      </c>
      <c r="D162" s="285"/>
      <c r="E162" s="72" t="str">
        <f>_xlfn.CONCAT(_xlfn.XLOOKUP("[S08_ActivityDataIssuesDetail]["&amp;ROW(B162)-ROW($B$156)&amp;"][TypeOfIssue]",Submission!$O:$O,Submission!$H:$N,""))</f>
        <v>Recommendations for improvement</v>
      </c>
      <c r="F162" s="106" t="str">
        <f>_xlfn.CONCAT(_xlfn.XLOOKUP("[S08_ActivityDataIssuesDetail]["&amp;ROW(B162)-ROW($B$156)&amp;"][NumberOfInstallations]",Submission!$O:$O,Submission!$H:$N,""))</f>
        <v>1</v>
      </c>
      <c r="G162" s="106" t="str">
        <f>_xlfn.CONCAT(_xlfn.XLOOKUP("[S08_ActivityDataIssuesDetail]["&amp;ROW(B162)-ROW($B$156)&amp;"][NumberOfIssues]",Submission!$O:$O,Submission!$H:$N,""))</f>
        <v>1</v>
      </c>
      <c r="H162" s="452" t="str">
        <f>_xlfn.CONCAT(_xlfn.XLOOKUP("[S08_ActivityDataIssuesDetail]["&amp;ROW(B162)-ROW($B$156)&amp;"][NumberOfInstallationsConEst]",Submission!$O:$O,Submission!$H:$N,""))</f>
        <v>0</v>
      </c>
      <c r="I162" s="453"/>
    </row>
    <row r="163" spans="3:9" ht="54" customHeight="1" x14ac:dyDescent="0.3">
      <c r="C163" s="284" t="str">
        <f>_xlfn.CONCAT(_xlfn.XLOOKUP("[S08_ActivityDataIssuesDetail]["&amp;ROW(B163)-ROW($B$156)&amp;"][AnnexIActivity]",Submission!$O:$O,Submission!$H:$N,""))</f>
        <v>21 - Refining of mineral oil</v>
      </c>
      <c r="D163" s="285"/>
      <c r="E163" s="72" t="str">
        <f>_xlfn.CONCAT(_xlfn.XLOOKUP("[S08_ActivityDataIssuesDetail]["&amp;ROW(B163)-ROW($B$156)&amp;"][TypeOfIssue]",Submission!$O:$O,Submission!$H:$N,""))</f>
        <v>Recommendations for improvement</v>
      </c>
      <c r="F163" s="106" t="str">
        <f>_xlfn.CONCAT(_xlfn.XLOOKUP("[S08_ActivityDataIssuesDetail]["&amp;ROW(B163)-ROW($B$156)&amp;"][NumberOfInstallations]",Submission!$O:$O,Submission!$H:$N,""))</f>
        <v>3</v>
      </c>
      <c r="G163" s="106" t="str">
        <f>_xlfn.CONCAT(_xlfn.XLOOKUP("[S08_ActivityDataIssuesDetail]["&amp;ROW(B163)-ROW($B$156)&amp;"][NumberOfIssues]",Submission!$O:$O,Submission!$H:$N,""))</f>
        <v>3</v>
      </c>
      <c r="H163" s="452" t="str">
        <f>_xlfn.CONCAT(_xlfn.XLOOKUP("[S08_ActivityDataIssuesDetail]["&amp;ROW(B163)-ROW($B$156)&amp;"][NumberOfInstallationsConEst]",Submission!$O:$O,Submission!$H:$N,""))</f>
        <v>0</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Yes</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0</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18</v>
      </c>
      <c r="G244" s="356"/>
      <c r="H244" s="341" t="str">
        <f>_xlfn.CONCAT(_xlfn.XLOOKUP("[S08_ActivityReportRejectedDetail][2][ReasonForRejection]",Submission!$O:$O,Submission!$H:$N,""))</f>
        <v>For example the fuel input differed compared to AER, there were problems filling CHP tool and group information was missing.</v>
      </c>
      <c r="I244" s="356"/>
    </row>
    <row r="245" spans="1:9" s="58" customFormat="1" ht="48" customHeight="1" x14ac:dyDescent="0.3">
      <c r="A245" s="75"/>
      <c r="C245" s="246" t="s">
        <v>1210</v>
      </c>
      <c r="D245" s="263"/>
      <c r="E245" s="264"/>
      <c r="F245" s="284" t="str">
        <f>_xlfn.CONCAT(_xlfn.XLOOKUP("[S08_ActivityReportRejectedDetail][3][ActionsTaken]",Submission!$O:$O,Submission!$H:$N,""))</f>
        <v>Operators revised the reports and submitted reverified reports to the CA.</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Most common mistakes will be discussed in a training event organised by the CA to the operators.</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No</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Yes</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COVID-19 pandemic</v>
      </c>
      <c r="D264" s="322" t="str">
        <f>_xlfn.CONCAT(_xlfn.XLOOKUP("[S08_VirtualVisitsActivityLevelDetail][1][NumberOfInstallationsVV]",Submission!$O:$O,Submission!$H:$N,""))</f>
        <v>4</v>
      </c>
      <c r="E264" s="324"/>
      <c r="F264" s="412" t="str">
        <f>_xlfn.CONCAT(_xlfn.XLOOKUP("[S08_VirtualVisitsActivityLevelDetail][1][AuthorityApproval]",Submission!$O:$O,Submission!$H:$N,""))</f>
        <v>Approval by competent authority</v>
      </c>
      <c r="G264" s="414"/>
      <c r="H264" s="412" t="str">
        <f>_xlfn.CONCAT(_xlfn.XLOOKUP("[S08_VirtualVisitsActivityLevelDetail][1][ConfirmationConditionsMet]",Submission!$O:$O,Submission!$H:$N,""))</f>
        <v>Yes</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
      </c>
      <c r="F283" s="105" t="str">
        <f>_xlfn.CONCAT(_xlfn.XLOOKUP("[S08_PenaltiesAllocation][1][MaxFine]",Submission!$O:$O,Submission!$H:$N,""))</f>
        <v>32000</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c>
    </row>
    <row r="284" spans="1:10" ht="58.2" customHeight="1" x14ac:dyDescent="0.3">
      <c r="C284" s="246" t="s">
        <v>1231</v>
      </c>
      <c r="D284" s="264"/>
      <c r="E284" s="105" t="str">
        <f>_xlfn.CONCAT(_xlfn.XLOOKUP("[S08_PenaltiesAllocation][2][MinFine]",Submission!$O:$O,Submission!$H:$N,""))</f>
        <v/>
      </c>
      <c r="F284" s="105" t="str">
        <f>_xlfn.CONCAT(_xlfn.XLOOKUP("[S08_PenaltiesAllocation][2][MaxFine]",Submission!$O:$O,Submission!$H:$N,""))</f>
        <v>32000</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
      </c>
    </row>
    <row r="285" spans="1:10" ht="58.2" customHeight="1" x14ac:dyDescent="0.3">
      <c r="C285" s="246" t="s">
        <v>1232</v>
      </c>
      <c r="D285" s="264"/>
      <c r="E285" s="105" t="str">
        <f>_xlfn.CONCAT(_xlfn.XLOOKUP("[S08_PenaltiesAllocation][3][MinFine]",Submission!$O:$O,Submission!$H:$N,""))</f>
        <v/>
      </c>
      <c r="F285" s="105" t="str">
        <f>_xlfn.CONCAT(_xlfn.XLOOKUP("[S08_PenaltiesAllocation][3][MaxFine]",Submission!$O:$O,Submission!$H:$N,""))</f>
        <v>32000</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503" t="s">
        <v>1233</v>
      </c>
      <c r="D286" s="504"/>
      <c r="E286" s="105" t="str">
        <f>_xlfn.CONCAT(_xlfn.XLOOKUP("[S08_PenaltiesAllocation][4][MinFine]",Submission!$O:$O,Submission!$H:$N,""))</f>
        <v/>
      </c>
      <c r="F286" s="105" t="str">
        <f>_xlfn.CONCAT(_xlfn.XLOOKUP("[S08_PenaltiesAllocation][4][MaxFine]",Submission!$O:$O,Submission!$H:$N,""))</f>
        <v>32000</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No</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No</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
      </c>
      <c r="H9" s="509"/>
      <c r="I9" s="453"/>
    </row>
    <row r="10" spans="1:9" x14ac:dyDescent="0.3">
      <c r="C10" s="461" t="s">
        <v>1253</v>
      </c>
      <c r="D10" s="462"/>
      <c r="E10" s="462"/>
      <c r="F10" s="463"/>
      <c r="G10" s="452" t="str">
        <f>_xlfn.CONCAT(_xlfn.XLOOKUP("[S09_InstallationOperatorFeesPermits][2][FeesAmount]",Submission!$O:$O,Submission!$H:$N,""))</f>
        <v/>
      </c>
      <c r="H10" s="509"/>
      <c r="I10" s="453"/>
    </row>
    <row r="11" spans="1:9" x14ac:dyDescent="0.3">
      <c r="C11" s="461" t="s">
        <v>1254</v>
      </c>
      <c r="D11" s="462"/>
      <c r="E11" s="462"/>
      <c r="F11" s="463"/>
      <c r="G11" s="452" t="str">
        <f>_xlfn.CONCAT(_xlfn.XLOOKUP("[S09_InstallationOperatorFeesPermits][3][FeesAmount]",Submission!$O:$O,Submission!$H:$N,""))</f>
        <v/>
      </c>
      <c r="H11" s="509"/>
      <c r="I11" s="453"/>
    </row>
    <row r="12" spans="1:9" x14ac:dyDescent="0.3">
      <c r="C12" s="461" t="s">
        <v>1255</v>
      </c>
      <c r="D12" s="462"/>
      <c r="E12" s="462"/>
      <c r="F12" s="463"/>
      <c r="G12" s="452" t="str">
        <f>_xlfn.CONCAT(_xlfn.XLOOKUP("[S09_InstallationOperatorFeesPermits][4][FeesAmount]",Submission!$O:$O,Submission!$H:$N,""))</f>
        <v/>
      </c>
      <c r="H12" s="509"/>
      <c r="I12" s="453"/>
    </row>
    <row r="13" spans="1:9" x14ac:dyDescent="0.3">
      <c r="C13" s="461" t="s">
        <v>1256</v>
      </c>
      <c r="D13" s="462"/>
      <c r="E13" s="462"/>
      <c r="F13" s="463"/>
      <c r="G13" s="452" t="str">
        <f>_xlfn.CONCAT(_xlfn.XLOOKUP("[S09_InstallationOperatorFeesPermits][5][FeesAmount]",Submission!$O:$O,Submission!$H:$N,""))</f>
        <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No</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
      </c>
      <c r="H34" s="509"/>
      <c r="I34" s="453"/>
    </row>
    <row r="35" spans="2:9" x14ac:dyDescent="0.3">
      <c r="C35" s="461" t="s">
        <v>1266</v>
      </c>
      <c r="D35" s="462"/>
      <c r="E35" s="462"/>
      <c r="F35" s="463"/>
      <c r="G35" s="452" t="str">
        <f>_xlfn.CONCAT(_xlfn.XLOOKUP("[S09_AircraftOperatorFeesMonitoringPlans][2][FeesAmount]",Submission!$O:$O,Submission!$H:$N,""))</f>
        <v/>
      </c>
      <c r="H35" s="509"/>
      <c r="I35" s="453"/>
    </row>
    <row r="36" spans="2:9" x14ac:dyDescent="0.3">
      <c r="C36" s="461" t="s">
        <v>1267</v>
      </c>
      <c r="D36" s="462"/>
      <c r="E36" s="462"/>
      <c r="F36" s="463"/>
      <c r="G36" s="452" t="str">
        <f>_xlfn.CONCAT(_xlfn.XLOOKUP("[S09_AircraftOperatorFeesMonitoringPlans][3][FeesAmount]",Submission!$O:$O,Submission!$H:$N,""))</f>
        <v/>
      </c>
      <c r="H36" s="509"/>
      <c r="I36" s="453"/>
    </row>
    <row r="37" spans="2:9" x14ac:dyDescent="0.3">
      <c r="C37" s="461" t="s">
        <v>1268</v>
      </c>
      <c r="D37" s="462"/>
      <c r="E37" s="462"/>
      <c r="F37" s="463"/>
      <c r="G37" s="452" t="str">
        <f>_xlfn.CONCAT(_xlfn.XLOOKUP("[S09_AircraftOperatorFeesMonitoringPlans][4][FeesAmount]",Submission!$O:$O,Submission!$H:$N,""))</f>
        <v/>
      </c>
      <c r="H37" s="509"/>
      <c r="I37" s="453"/>
    </row>
    <row r="38" spans="2:9" x14ac:dyDescent="0.3">
      <c r="C38" s="461" t="s">
        <v>1269</v>
      </c>
      <c r="D38" s="462"/>
      <c r="E38" s="462"/>
      <c r="F38" s="463"/>
      <c r="G38" s="452" t="str">
        <f>_xlfn.CONCAT(_xlfn.XLOOKUP("[S09_AircraftOperatorFeesMonitoringPlans][5][FeesAmount]",Submission!$O:$O,Submission!$H:$N,""))</f>
        <v/>
      </c>
      <c r="H38" s="509"/>
      <c r="I38" s="453"/>
    </row>
    <row r="39" spans="2:9" x14ac:dyDescent="0.3">
      <c r="C39" s="461" t="s">
        <v>1270</v>
      </c>
      <c r="D39" s="462"/>
      <c r="E39" s="462"/>
      <c r="F39" s="463"/>
      <c r="G39" s="452" t="str">
        <f>_xlfn.CONCAT(_xlfn.XLOOKUP("[S09_AircraftOperatorFeesMonitoringPlans][6][FeesAmount]",Submission!$O:$O,Submission!$H:$N,""))</f>
        <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Opening a trading account</v>
      </c>
      <c r="D60" s="468"/>
      <c r="E60" s="468"/>
      <c r="F60" s="252"/>
      <c r="G60" s="452" t="str">
        <f>_xlfn.CONCAT(_xlfn.XLOOKUP("[S09_RegistryAccountOneOffFees][1][OneOffFeeAmount]",Submission!$O:$O,Submission!$H:$N,""))</f>
        <v>300</v>
      </c>
      <c r="H60" s="509"/>
      <c r="I60" s="453"/>
    </row>
    <row r="61" spans="1:9" x14ac:dyDescent="0.3">
      <c r="C61" s="251" t="str">
        <f>_xlfn.CONCAT(_xlfn.XLOOKUP("[S09_RegistryAccountOneOffFees][2][OneOffFeeReason]",Submission!$O:$O,Submission!$H:$N,""))</f>
        <v/>
      </c>
      <c r="D61" s="468"/>
      <c r="E61" s="468"/>
      <c r="F61" s="252"/>
      <c r="G61" s="452" t="str">
        <f>_xlfn.CONCAT(_xlfn.XLOOKUP("[S09_RegistryAccountOneOffFees][2][OneOffFeeAmount]",Submission!$O:$O,Submission!$H:$N,""))</f>
        <v/>
      </c>
      <c r="H61" s="509"/>
      <c r="I61" s="453"/>
    </row>
    <row r="62" spans="1:9" x14ac:dyDescent="0.3">
      <c r="C62" s="251" t="str">
        <f>_xlfn.CONCAT(_xlfn.XLOOKUP("[S09_RegistryAccountOneOffFees][3][OneOffFeeReason]",Submission!$O:$O,Submission!$H:$N,""))</f>
        <v/>
      </c>
      <c r="D62" s="468"/>
      <c r="E62" s="468"/>
      <c r="F62" s="252"/>
      <c r="G62" s="452" t="str">
        <f>_xlfn.CONCAT(_xlfn.XLOOKUP("[S09_RegistryAccountOneOffFees][3][OneOffFeeAmount]",Submission!$O:$O,Submission!$H:$N,""))</f>
        <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Maintenance fee for trading account</v>
      </c>
      <c r="D74" s="468"/>
      <c r="E74" s="468"/>
      <c r="F74" s="252"/>
      <c r="G74" s="452" t="str">
        <f>_xlfn.CONCAT(_xlfn.XLOOKUP("[S09_RegistryAccountAnnualFees][1][AnnualFeeAmount]",Submission!$O:$O,Submission!$H:$N,""))</f>
        <v>320</v>
      </c>
      <c r="H74" s="509"/>
      <c r="I74" s="453"/>
    </row>
    <row r="75" spans="2:9" x14ac:dyDescent="0.3">
      <c r="C75" s="251" t="str">
        <f>_xlfn.CONCAT(_xlfn.XLOOKUP("[S09_RegistryAccountAnnualFees][2][AnnualFeeReason]",Submission!$O:$O,Submission!$H:$N,""))</f>
        <v/>
      </c>
      <c r="D75" s="468"/>
      <c r="E75" s="468"/>
      <c r="F75" s="252"/>
      <c r="G75" s="452" t="str">
        <f>_xlfn.CONCAT(_xlfn.XLOOKUP("[S09_RegistryAccountAnnualFees][2][AnnualFeeAmount]",Submission!$O:$O,Submission!$H:$N,""))</f>
        <v/>
      </c>
      <c r="H75" s="509"/>
      <c r="I75" s="453"/>
    </row>
    <row r="76" spans="2:9" x14ac:dyDescent="0.3">
      <c r="C76" s="251" t="str">
        <f>_xlfn.CONCAT(_xlfn.XLOOKUP("[S09_RegistryAccountAnnualFees][3][AnnualFeeReason]",Submission!$O:$O,Submission!$H:$N,""))</f>
        <v/>
      </c>
      <c r="D76" s="468"/>
      <c r="E76" s="468"/>
      <c r="F76" s="252"/>
      <c r="G76" s="452" t="str">
        <f>_xlfn.CONCAT(_xlfn.XLOOKUP("[S09_RegistryAccountAnnualFees][3][AnnualFeeAmount]",Submission!$O:$O,Submission!$H:$N,""))</f>
        <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No</v>
      </c>
      <c r="I7" s="72" t="str">
        <f>_xlfn.CONCAT(_xlfn.XLOOKUP("[S10_InstallationsComplianceMeasures][1][ComplianceMeasuresComment]",Submission!$O:$O,Submission!$H:$N,""))</f>
        <v>Due to COVID-19 no inspections were done in 2021.</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No</v>
      </c>
      <c r="I8" s="72" t="str">
        <f>_xlfn.CONCAT(_xlfn.XLOOKUP("[S10_InstallationsComplianceMeasures][2][ComplianceMeasuresComment]",Submission!$O:$O,Submission!$H:$N,""))</f>
        <v>Selling of allowances would have been prohibited in case there would have been irregularities but we did not have such cases.</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Yes</v>
      </c>
      <c r="I9" s="72" t="str">
        <f>_xlfn.CONCAT(_xlfn.XLOOKUP("[S10_InstallationsComplianceMeasures][3][ComplianceMeasuresComment]",Submission!$O:$O,Submission!$H:$N,""))</f>
        <v>Regular training events are held and regular communication with the operators takes place.</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4000</v>
      </c>
      <c r="F21" s="105" t="str">
        <f>_xlfn.CONCAT(_xlfn.XLOOKUP("[S10_InstallationsInfringementPenalties]["&amp;ROW(B21)-ROW($B$20)&amp;"][MaxFine]",Submission!$O:$O,Submission!$H:$N,""))</f>
        <v>16000000</v>
      </c>
      <c r="G21" s="105" t="str">
        <f>_xlfn.CONCAT(_xlfn.XLOOKUP("[S10_InstallationsInfringementPenalties]["&amp;ROW(B21)-ROW($B$20)&amp;"][PrisonMin]",Submission!$O:$O,Submission!$H:$N,""))</f>
        <v/>
      </c>
      <c r="H21" s="105" t="str">
        <f>_xlfn.CONCAT(_xlfn.XLOOKUP("[S10_InstallationsInfringementPenalties]["&amp;ROW(B21)-ROW($B$20)&amp;"][PrisonMax]",Submission!$O:$O,Submission!$H:$N,""))</f>
        <v>12</v>
      </c>
      <c r="I21" s="72" t="str">
        <f>_xlfn.CONCAT(_xlfn.XLOOKUP("[S10_InstallationsInfringementPenalties]["&amp;ROW(B21)-ROW($B$20)&amp;"][OtherPenalty]",Submission!$O:$O,Submission!$H:$N,""))</f>
        <v xml:space="preserve"> Regarding the 12 months, if significant damage is thereby caused to the environment, it is punishable by up to three years’ imprisonment; The 4000-16000000 euros fine is a pecuniary punishment of Penal Code for a criminal offence. The amount of fine is calculated as a percentage of the turnover of the legal person during the financial year immediately preceding the year in which the criminal proceedings were commenced.</v>
      </c>
    </row>
    <row r="22" spans="1:9" ht="33" customHeight="1" x14ac:dyDescent="0.3">
      <c r="A22" s="13"/>
      <c r="C22" s="246" t="s">
        <v>1288</v>
      </c>
      <c r="D22" s="239"/>
      <c r="E22" s="105" t="str">
        <f>_xlfn.CONCAT(_xlfn.XLOOKUP("[S10_InstallationsInfringementPenalties]["&amp;ROW(B22)-ROW($B$20)&amp;"][MinFine]",Submission!$O:$O,Submission!$H:$N,""))</f>
        <v>4000</v>
      </c>
      <c r="F22" s="105" t="str">
        <f>_xlfn.CONCAT(_xlfn.XLOOKUP("[S10_InstallationsInfringementPenalties]["&amp;ROW(B22)-ROW($B$20)&amp;"][MaxFine]",Submission!$O:$O,Submission!$H:$N,""))</f>
        <v>16000000</v>
      </c>
      <c r="G22" s="105" t="str">
        <f>_xlfn.CONCAT(_xlfn.XLOOKUP("[S10_InstallationsInfringementPenalties]["&amp;ROW(B22)-ROW($B$20)&amp;"][PrisonMin]",Submission!$O:$O,Submission!$H:$N,""))</f>
        <v/>
      </c>
      <c r="H22" s="105" t="str">
        <f>_xlfn.CONCAT(_xlfn.XLOOKUP("[S10_InstallationsInfringementPenalties]["&amp;ROW(B22)-ROW($B$20)&amp;"][PrisonMax]",Submission!$O:$O,Submission!$H:$N,""))</f>
        <v>12</v>
      </c>
      <c r="I22" s="72" t="str">
        <f>_xlfn.CONCAT(_xlfn.XLOOKUP("[S10_InstallationsInfringementPenalties]["&amp;ROW(B22)-ROW($B$20)&amp;"][OtherPenalty]",Submission!$O:$O,Submission!$H:$N,""))</f>
        <v xml:space="preserve"> Regarding the 12 months, if significant damage is thereby caused to the environment, it is punishable by up to three years’ imprisonment; The 4000-16000000 euros fine is a pecuniary punishment of Penal Code for a criminal offence. The amount of fine is calculated as a percentage of the turnover of the legal person during the financial year immediately preceding the year in which the criminal proceedings were commenced.</v>
      </c>
    </row>
    <row r="23" spans="1:9" ht="33" customHeight="1" x14ac:dyDescent="0.3">
      <c r="A23" s="13"/>
      <c r="C23" s="246" t="s">
        <v>1289</v>
      </c>
      <c r="D23" s="239"/>
      <c r="E23" s="105" t="str">
        <f>_xlfn.CONCAT(_xlfn.XLOOKUP("[S10_InstallationsInfringementPenalties]["&amp;ROW(B23)-ROW($B$20)&amp;"][MinFine]",Submission!$O:$O,Submission!$H:$N,""))</f>
        <v/>
      </c>
      <c r="F23" s="105" t="str">
        <f>_xlfn.CONCAT(_xlfn.XLOOKUP("[S10_InstallationsInfringementPenalties]["&amp;ROW(B23)-ROW($B$20)&amp;"][MaxFine]",Submission!$O:$O,Submission!$H:$N,""))</f>
        <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6" t="s">
        <v>1290</v>
      </c>
      <c r="D24" s="239"/>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6" t="s">
        <v>1291</v>
      </c>
      <c r="D25" s="239"/>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6" t="s">
        <v>1292</v>
      </c>
      <c r="D26" s="239"/>
      <c r="E26" s="105" t="str">
        <f>_xlfn.CONCAT(_xlfn.XLOOKUP("[S10_InstallationsInfringementPenalties]["&amp;ROW(B26)-ROW($B$20)&amp;"][MinFine]",Submission!$O:$O,Submission!$H:$N,""))</f>
        <v/>
      </c>
      <c r="F26" s="105" t="str">
        <f>_xlfn.CONCAT(_xlfn.XLOOKUP("[S10_InstallationsInfringementPenalties]["&amp;ROW(B26)-ROW($B$20)&amp;"][MaxFine]",Submission!$O:$O,Submission!$H:$N,""))</f>
        <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6" t="s">
        <v>1293</v>
      </c>
      <c r="D27" s="239"/>
      <c r="E27" s="105" t="str">
        <f>_xlfn.CONCAT(_xlfn.XLOOKUP("[S10_InstallationsInfringementPenalties]["&amp;ROW(B27)-ROW($B$20)&amp;"][MinFine]",Submission!$O:$O,Submission!$H:$N,""))</f>
        <v/>
      </c>
      <c r="F27" s="105" t="str">
        <f>_xlfn.CONCAT(_xlfn.XLOOKUP("[S10_InstallationsInfringementPenalties]["&amp;ROW(B27)-ROW($B$20)&amp;"][MaxFine]",Submission!$O:$O,Submission!$H:$N,""))</f>
        <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6" t="s">
        <v>1294</v>
      </c>
      <c r="D28" s="239"/>
      <c r="E28" s="105" t="str">
        <f>_xlfn.CONCAT(_xlfn.XLOOKUP("[S10_InstallationsInfringementPenalties]["&amp;ROW(B28)-ROW($B$20)&amp;"][MinFine]",Submission!$O:$O,Submission!$H:$N,""))</f>
        <v/>
      </c>
      <c r="F28" s="105" t="str">
        <f>_xlfn.CONCAT(_xlfn.XLOOKUP("[S10_InstallationsInfringementPenalties]["&amp;ROW(B28)-ROW($B$20)&amp;"][MaxFine]",Submission!$O:$O,Submission!$H:$N,""))</f>
        <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6" t="s">
        <v>1295</v>
      </c>
      <c r="D29" s="239"/>
      <c r="E29" s="105" t="str">
        <f>_xlfn.CONCAT(_xlfn.XLOOKUP("[S10_InstallationsInfringementPenalties]["&amp;ROW(B29)-ROW($B$20)&amp;"][MinFine]",Submission!$O:$O,Submission!$H:$N,""))</f>
        <v/>
      </c>
      <c r="F29" s="105" t="str">
        <f>_xlfn.CONCAT(_xlfn.XLOOKUP("[S10_InstallationsInfringementPenalties]["&amp;ROW(B29)-ROW($B$20)&amp;"][MaxFine]",Submission!$O:$O,Submission!$H:$N,""))</f>
        <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6" t="s">
        <v>1296</v>
      </c>
      <c r="D30" s="239"/>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6" t="s">
        <v>1297</v>
      </c>
      <c r="D31" s="239"/>
      <c r="E31" s="105" t="str">
        <f>_xlfn.CONCAT(_xlfn.XLOOKUP("[S10_InstallationsInfringementPenalties]["&amp;ROW(B31)-ROW($B$20)&amp;"][MinFine]",Submission!$O:$O,Submission!$H:$N,""))</f>
        <v/>
      </c>
      <c r="F31" s="105" t="str">
        <f>_xlfn.CONCAT(_xlfn.XLOOKUP("[S10_InstallationsInfringementPenalties]["&amp;ROW(B31)-ROW($B$20)&amp;"][MaxFine]",Submission!$O:$O,Submission!$H:$N,""))</f>
        <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Several sanction types are laid down in the national legislation.</v>
      </c>
      <c r="E32" s="105" t="str">
        <f>_xlfn.CONCAT(_xlfn.XLOOKUP("[S10_InstallationsInfringementPenalties]["&amp;ROW(B32)-ROW($B$20)&amp;"][MinFine]",Submission!$O:$O,Submission!$H:$N,""))</f>
        <v/>
      </c>
      <c r="F32" s="105" t="str">
        <f>_xlfn.CONCAT(_xlfn.XLOOKUP("[S10_InstallationsInfringementPenalties]["&amp;ROW(B32)-ROW($B$20)&amp;"][MaxFine]",Submission!$O:$O,Submission!$H:$N,""))</f>
        <v>32000</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Environmental Board (hereinafter KeA) is responsible for imposing sanctions whenever necessary. This includes sanctions with regards to the general violations of permit conditions and requirements as well as sanctions in case of non-compliance regarding timely surrender of allowances. Several sanction types are laid down in the national legislation. Atmospheric Air Protection Act article 169 states that the indemnity for emission allowances shall be collected by the KeA and shall be transferred to the state budget. KeA has the right to issue precepts. Upon failure to comply with the precept, a penalty payment may be imposed by supervisory officials pursuant to the procedure provided by the Substitutive Enforcement and Penalty Payment Act. The upper limit for a penalty payment is 32 000 euros. According to the Atmospheric Air Protection Act article 237 "Violation of requirements for emission allowances trading system" the violation of the requirements for the emission allowances trading system is punishable by a fine of up to 300 fine units. The same act, if committed by a legal person, is punishable by a fine of up to 32 000 euros. In addition, according to Penal Code article 366 „Violation of procedure for utilisation of natural resources or procedure for maintenance of records on pollution“ the violation of the procedure for maintenance of records on pollution or the requirements for environmental monitoring is punishable by a fine of up to one hundred fine units or by detention. The same act, if committed by a legal person, is punishable by a fine of up to 2 000 euros.</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No</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
      </c>
      <c r="D115" s="348"/>
      <c r="E115" s="285"/>
      <c r="F115" s="284" t="str">
        <f>_xlfn.CONCAT(_xlfn.XLOOKUP("[S10_InstallationPenalties][1][OperatorName]",Submission!$O:$O,Submission!$H:$N,""))</f>
        <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No</v>
      </c>
      <c r="I134" s="72" t="str">
        <f>_xlfn.CONCAT(_xlfn.XLOOKUP("[S10_AircraftComplianceMeasures][2][ComplianceMeasuresComment]",Submission!$O:$O,Submission!$H:$N,""))</f>
        <v>Selling of allowances would have been prohibited in case there would have been irregularities but we did not have such cases.</v>
      </c>
    </row>
    <row r="135" spans="1:9" x14ac:dyDescent="0.3">
      <c r="A135" s="12"/>
      <c r="B135" s="23"/>
      <c r="C135" s="246" t="s">
        <v>1308</v>
      </c>
      <c r="D135" s="263"/>
      <c r="E135" s="263"/>
      <c r="F135" s="263"/>
      <c r="G135" s="264"/>
      <c r="H135" s="47" t="str">
        <f>_xlfn.CONCAT(_xlfn.XLOOKUP("[S10_AircraftComplianceMeasures][3][ComplianceMeasuresYesNo]",Submission!$O:$O,Submission!$H:$N,""))</f>
        <v>Yes</v>
      </c>
      <c r="I135" s="72" t="str">
        <f>_xlfn.CONCAT(_xlfn.XLOOKUP("[S10_AircraftComplianceMeasures][3][ComplianceMeasuresComment]",Submission!$O:$O,Submission!$H:$N,""))</f>
        <v>Regular communication takes place.</v>
      </c>
    </row>
    <row r="136" spans="1:9" x14ac:dyDescent="0.3">
      <c r="A136" s="12"/>
      <c r="B136" s="23"/>
      <c r="C136" s="246" t="s">
        <v>1309</v>
      </c>
      <c r="D136" s="263"/>
      <c r="E136" s="263"/>
      <c r="F136" s="263"/>
      <c r="G136" s="264"/>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
      </c>
      <c r="F147" s="105" t="str">
        <f>_xlfn.CONCAT(_xlfn.XLOOKUP("[S10_AircraftInfringementPenalties][1][MaxFine]",Submission!$O:$O,Submission!$H:$N,""))</f>
        <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6" t="s">
        <v>1290</v>
      </c>
      <c r="D148" s="264"/>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6" t="s">
        <v>1293</v>
      </c>
      <c r="D150" s="264"/>
      <c r="E150" s="105" t="str">
        <f>_xlfn.CONCAT(_xlfn.XLOOKUP("[S10_AircraftInfringementPenalties][4][MinFine]",Submission!$O:$O,Submission!$H:$N,""))</f>
        <v/>
      </c>
      <c r="F150" s="105" t="str">
        <f>_xlfn.CONCAT(_xlfn.XLOOKUP("[S10_AircraftInfringementPenalties][4][MaxFine]",Submission!$O:$O,Submission!$H:$N,""))</f>
        <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
      </c>
      <c r="F152" s="105" t="str">
        <f>_xlfn.CONCAT(_xlfn.XLOOKUP("[S10_AircraftInfringementPenalties][6][MaxFine]",Submission!$O:$O,Submission!$H:$N,""))</f>
        <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6" t="s">
        <v>1295</v>
      </c>
      <c r="D153" s="264"/>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Several sanction types are laid down in the national legislation.</v>
      </c>
      <c r="E158" s="105" t="str">
        <f>_xlfn.CONCAT(_xlfn.XLOOKUP("[S10_AircraftInfringementPenalties][12][MinFine]",Submission!$O:$O,Submission!$H:$N,""))</f>
        <v/>
      </c>
      <c r="F158" s="105" t="str">
        <f>_xlfn.CONCAT(_xlfn.XLOOKUP("[S10_AircraftInfringementPenalties][12][MaxFine]",Submission!$O:$O,Submission!$H:$N,""))</f>
        <v>32000</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No</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
      </c>
      <c r="D202" s="522"/>
      <c r="E202" s="523"/>
      <c r="F202" s="521" t="str">
        <f>_xlfn.CONCAT(_xlfn.XLOOKUP("[S10_AircraftPenalties][1][OperatorName]",Submission!$O:$O,Submission!$H:$N,""))</f>
        <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If the negotiations with the operator and relevant national aviation authority do not provide a solution, the European Commission will be contacted.</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The legal nature of an allowance in Estonian legislation is a security.</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In accounting the allowances are reflected as the monetary right.</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No</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No</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
      </c>
      <c r="D18" s="348"/>
      <c r="E18" s="348"/>
      <c r="F18" s="285"/>
      <c r="G18" s="284" t="str">
        <f>_xlfn.CONCAT(_xlfn.XLOOKUP("[S11_TypeOfTaxRatesApplied][1][TaxRateApplied]",Submission!$O:$O,Submission!$H:$N,""))</f>
        <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
      </c>
      <c r="H7" s="348"/>
      <c r="I7" s="285"/>
    </row>
    <row r="8" spans="1:9" ht="45" customHeight="1" x14ac:dyDescent="0.3">
      <c r="C8" s="246" t="s">
        <v>1337</v>
      </c>
      <c r="D8" s="283"/>
      <c r="E8" s="283"/>
      <c r="F8" s="239"/>
      <c r="G8" s="284" t="str">
        <f>_xlfn.CONCAT(_xlfn.XLOOKUP("[S12_FraudFreeAllocationOfAllowances][2][DetailsOfProceduresInNationalLaw]",Submission!$O:$O,Submission!$H:$N,""))</f>
        <v/>
      </c>
      <c r="H8" s="348"/>
      <c r="I8" s="285"/>
    </row>
    <row r="9" spans="1:9" ht="45" customHeight="1" x14ac:dyDescent="0.3">
      <c r="C9" s="246" t="s">
        <v>1338</v>
      </c>
      <c r="D9" s="283"/>
      <c r="E9" s="283"/>
      <c r="F9" s="239"/>
      <c r="G9" s="284" t="str">
        <f>_xlfn.CONCAT(_xlfn.XLOOKUP("[S12_FraudFreeAllocationOfAllowances][3][DetailsOfProceduresInNationalLaw]",Submission!$O:$O,Submission!$H:$N,""))</f>
        <v/>
      </c>
      <c r="H9" s="348"/>
      <c r="I9" s="285"/>
    </row>
    <row r="10" spans="1:9" ht="45" customHeight="1" x14ac:dyDescent="0.3">
      <c r="C10" s="246" t="s">
        <v>1339</v>
      </c>
      <c r="D10" s="283"/>
      <c r="E10" s="283"/>
      <c r="F10" s="239"/>
      <c r="G10" s="284" t="str">
        <f>_xlfn.CONCAT(_xlfn.XLOOKUP("[S12_FraudFreeAllocationOfAllowances][4][DetailsOfProceduresInNationalLaw]",Submission!$O:$O,Submission!$H:$N,""))</f>
        <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0</v>
      </c>
      <c r="I28" s="342"/>
    </row>
    <row r="29" spans="1:9" ht="20.399999999999999" customHeight="1" x14ac:dyDescent="0.3">
      <c r="C29" s="246" t="s">
        <v>1357</v>
      </c>
      <c r="D29" s="283"/>
      <c r="E29" s="283"/>
      <c r="F29" s="283"/>
      <c r="G29" s="239"/>
      <c r="H29" s="341" t="str">
        <f>_xlfn.CONCAT(_xlfn.XLOOKUP("[S12_InformationOnFraudActivities][2][NumberOfActivities]",Submission!$O:$O,Submission!$H:$N,""))</f>
        <v>0</v>
      </c>
      <c r="I29" s="342"/>
    </row>
    <row r="30" spans="1:9" ht="20.399999999999999" customHeight="1" x14ac:dyDescent="0.3">
      <c r="C30" s="246" t="s">
        <v>1358</v>
      </c>
      <c r="D30" s="283"/>
      <c r="E30" s="283"/>
      <c r="F30" s="283"/>
      <c r="G30" s="239"/>
      <c r="H30" s="341" t="str">
        <f>_xlfn.CONCAT(_xlfn.XLOOKUP("[S12_InformationOnFraudActivities][3][NumberOfActivities]",Submission!$O:$O,Submission!$H:$N,""))</f>
        <v>0</v>
      </c>
      <c r="I30" s="342"/>
    </row>
    <row r="31" spans="1:9" ht="20.399999999999999" customHeight="1" x14ac:dyDescent="0.3">
      <c r="C31" s="246" t="s">
        <v>1359</v>
      </c>
      <c r="D31" s="283"/>
      <c r="E31" s="283"/>
      <c r="F31" s="283"/>
      <c r="G31" s="239"/>
      <c r="H31" s="341" t="str">
        <f>_xlfn.CONCAT(_xlfn.XLOOKUP("[S12_InformationOnFraudActivities][4][NumberOfActivities]",Submission!$O:$O,Submission!$H:$N,""))</f>
        <v>0</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
      </c>
      <c r="E9" s="348" t="str">
        <f>_xlfn.CONCAT(_xlfn.XLOOKUP("[S13_AnyOtherIssues][3][OtherInformationOrIssues]",Submission!$O:$O,Submission!$H:$N,""))</f>
        <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
      </c>
      <c r="E13" s="348" t="str">
        <f>_xlfn.CONCAT(_xlfn.XLOOKUP("[S13_AnyOtherIssues][7][OtherInformationOrIssues]",Submission!$O:$O,Submission!$H:$N,""))</f>
        <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
      </c>
      <c r="E16" s="348" t="str">
        <f>_xlfn.CONCAT(_xlfn.XLOOKUP("[S13_AnyOtherIssues][10][OtherInformationOrIssues]",Submission!$O:$O,Submission!$H:$N,""))</f>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Question 5.9</v>
      </c>
      <c r="E18" s="348" t="str">
        <f>_xlfn.CONCAT(_xlfn.XLOOKUP("[S13_AnyOtherIssues][12][OtherInformationOrIssues]",Submission!$O:$O,Submission!$H:$N,""))</f>
        <v xml:space="preserve">The highest tier approaches for major source streams or major emission sources of category C installations referred to in Article 19(2), point (c), of Implementing Regulation (EU) 2018/2066 are applied. </v>
      </c>
      <c r="F18" s="348"/>
      <c r="G18" s="348"/>
      <c r="H18" s="348"/>
      <c r="I18" s="285"/>
      <c r="K18" s="186"/>
    </row>
    <row r="19" spans="3:11" ht="27" customHeight="1" x14ac:dyDescent="0.3">
      <c r="C19" s="558"/>
      <c r="D19" s="161" t="str">
        <f>_xlfn.CONCAT(_xlfn.XLOOKUP("[S13_AnyOtherIssues][13][QuestionnaireSubQuestion]",Submission!$O:$O,Submission!$H:$N,""))</f>
        <v/>
      </c>
      <c r="E19" s="348" t="str">
        <f>_xlfn.CONCAT(_xlfn.XLOOKUP("[S13_AnyOtherIssues][13][OtherInformationOrIssues]",Submission!$O:$O,Submission!$H:$N,""))</f>
        <v/>
      </c>
      <c r="F19" s="348"/>
      <c r="G19" s="348"/>
      <c r="H19" s="348"/>
      <c r="I19" s="285"/>
    </row>
    <row r="20" spans="3:11" ht="27" hidden="1" customHeight="1" outlineLevel="1" x14ac:dyDescent="0.3">
      <c r="C20" s="558"/>
      <c r="D20" s="161" t="str">
        <f>_xlfn.CONCAT(_xlfn.XLOOKUP("[S13_AnyOtherIssues][14][QuestionnaireSubQuestion]",Submission!$O:$O,Submission!$H:$N,""))</f>
        <v/>
      </c>
      <c r="E20" s="348" t="str">
        <f>_xlfn.CONCAT(_xlfn.XLOOKUP("[S13_AnyOtherIssues][14][OtherInformationOrIssues]",Submission!$O:$O,Submission!$H:$N,""))</f>
        <v/>
      </c>
      <c r="F20" s="348"/>
      <c r="G20" s="348"/>
      <c r="H20" s="348"/>
      <c r="I20" s="285"/>
    </row>
    <row r="21" spans="3:11" ht="27" hidden="1" customHeight="1" outlineLevel="1" x14ac:dyDescent="0.3">
      <c r="C21" s="558"/>
      <c r="D21" s="161" t="str">
        <f>_xlfn.CONCAT(_xlfn.XLOOKUP("[S13_AnyOtherIssues][15][QuestionnaireSubQuestion]",Submission!$O:$O,Submission!$H:$N,""))</f>
        <v/>
      </c>
      <c r="E21" s="348" t="str">
        <f>_xlfn.CONCAT(_xlfn.XLOOKUP("[S13_AnyOtherIssues][15][OtherInformationOrIssues]",Submission!$O:$O,Submission!$H:$N,""))</f>
        <v/>
      </c>
      <c r="F21" s="348"/>
      <c r="G21" s="348"/>
      <c r="H21" s="348"/>
      <c r="I21" s="285"/>
    </row>
    <row r="22" spans="3:11" ht="27" hidden="1" customHeight="1" outlineLevel="1" x14ac:dyDescent="0.3">
      <c r="C22" s="558"/>
      <c r="D22" s="161" t="str">
        <f>_xlfn.CONCAT(_xlfn.XLOOKUP("[S13_AnyOtherIssues][16][QuestionnaireSubQuestion]",Submission!$O:$O,Submission!$H:$N,""))</f>
        <v/>
      </c>
      <c r="E22" s="348" t="str">
        <f>_xlfn.CONCAT(_xlfn.XLOOKUP("[S13_AnyOtherIssues][16][OtherInformationOrIssues]",Submission!$O:$O,Submission!$H:$N,""))</f>
        <v/>
      </c>
      <c r="F22" s="348"/>
      <c r="G22" s="348"/>
      <c r="H22" s="348"/>
      <c r="I22" s="285"/>
    </row>
    <row r="23" spans="3:11" ht="27" hidden="1" customHeight="1" outlineLevel="1" x14ac:dyDescent="0.3">
      <c r="C23" s="558"/>
      <c r="D23" s="161" t="str">
        <f>_xlfn.CONCAT(_xlfn.XLOOKUP("[S13_AnyOtherIssues][17][QuestionnaireSubQuestion]",Submission!$O:$O,Submission!$H:$N,""))</f>
        <v/>
      </c>
      <c r="E23" s="348" t="str">
        <f>_xlfn.CONCAT(_xlfn.XLOOKUP("[S13_AnyOtherIssues][17][OtherInformationOrIssues]",Submission!$O:$O,Submission!$H:$N,""))</f>
        <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Question 6.1</v>
      </c>
      <c r="E41" s="348" t="str">
        <f>_xlfn.CONCAT(_xlfn.XLOOKUP("[S13_AnyOtherIssues][35][OtherInformationOrIssues]",Submission!$O:$O,Submission!$H:$N,""))</f>
        <v>Verifiers accredited by a national accreditation body in another Member State that carried out verification in Estonia for stationary installations were accredited in Finland and Latvia. Due to some reason the template did not allow to enter this under the table for this question. Aircraft operator was verified by the verifier accredited in Latvia.</v>
      </c>
      <c r="F41" s="348"/>
      <c r="G41" s="348"/>
      <c r="H41" s="348"/>
      <c r="I41" s="285"/>
    </row>
    <row r="42" spans="3:9" ht="27" customHeight="1" x14ac:dyDescent="0.3">
      <c r="C42" s="558"/>
      <c r="D42" s="161" t="str">
        <f>_xlfn.CONCAT(_xlfn.XLOOKUP("[S13_AnyOtherIssues][36][QuestionnaireSubQuestion]",Submission!$O:$O,Submission!$H:$N,""))</f>
        <v>Question 6.2</v>
      </c>
      <c r="E42" s="348" t="str">
        <f>_xlfn.CONCAT(_xlfn.XLOOKUP("[S13_AnyOtherIssues][36][OtherInformationOrIssues]",Submission!$O:$O,Submission!$H:$N,""))</f>
        <v xml:space="preserve">We tried to submit the information exchange report in accordance with Article 73(1) of Implementing Regulation (EU) 2018/2067 to Finland but we received an error message from the relevant contact. As we did not have any substantial information in the report we decided not to forward it to another recipient. </v>
      </c>
      <c r="F42" s="348"/>
      <c r="G42" s="348"/>
      <c r="H42" s="348"/>
      <c r="I42" s="285"/>
    </row>
    <row r="43" spans="3:9" ht="27" hidden="1" customHeight="1" outlineLevel="1" x14ac:dyDescent="0.3">
      <c r="C43" s="558"/>
      <c r="D43" s="161" t="str">
        <f>_xlfn.CONCAT(_xlfn.XLOOKUP("[S13_AnyOtherIssues][37][QuestionnaireSubQuestion]",Submission!$O:$O,Submission!$H:$N,""))</f>
        <v>Question 6.3</v>
      </c>
      <c r="E43" s="348" t="str">
        <f>_xlfn.CONCAT(_xlfn.XLOOKUP("[S13_AnyOtherIssues][37][OtherInformationOrIssues]",Submission!$O:$O,Submission!$H:$N,""))</f>
        <v>No conservative estimations were made.</v>
      </c>
      <c r="F43" s="348"/>
      <c r="G43" s="348"/>
      <c r="H43" s="348"/>
      <c r="I43" s="285"/>
    </row>
    <row r="44" spans="3:9" ht="27" hidden="1" customHeight="1" outlineLevel="1" x14ac:dyDescent="0.3">
      <c r="C44" s="558"/>
      <c r="D44" s="161" t="str">
        <f>_xlfn.CONCAT(_xlfn.XLOOKUP("[S13_AnyOtherIssues][38][QuestionnaireSubQuestion]",Submission!$O:$O,Submission!$H:$N,""))</f>
        <v>Question 6.8</v>
      </c>
      <c r="E44" s="348" t="str">
        <f>_xlfn.CONCAT(_xlfn.XLOOKUP("[S13_AnyOtherIssues][38][OtherInformationOrIssues]",Submission!$O:$O,Submission!$H:$N,""))</f>
        <v>No conservative estimations were made.</v>
      </c>
      <c r="F44" s="348"/>
      <c r="G44" s="348"/>
      <c r="H44" s="348"/>
      <c r="I44" s="285"/>
    </row>
    <row r="45" spans="3:9" ht="27" hidden="1" customHeight="1" outlineLevel="1" x14ac:dyDescent="0.3">
      <c r="C45" s="558"/>
      <c r="D45" s="161" t="str">
        <f>_xlfn.CONCAT(_xlfn.XLOOKUP("[S13_AnyOtherIssues][39][QuestionnaireSubQuestion]",Submission!$O:$O,Submission!$H:$N,""))</f>
        <v>Question 6.1</v>
      </c>
      <c r="E45" s="348" t="str">
        <f>_xlfn.CONCAT(_xlfn.XLOOKUP("[S13_AnyOtherIssues][39][OtherInformationOrIssues]",Submission!$O:$O,Submission!$H:$N,""))</f>
        <v>For question 6.10 we would like to note that no tonne-kilometre reports were submitted.</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Question 7.2</v>
      </c>
      <c r="E53" s="348" t="str">
        <f>_xlfn.CONCAT(_xlfn.XLOOKUP("[S13_AnyOtherIssues][47][OtherInformationOrIssues]",Submission!$O:$O,Submission!$H:$N,""))</f>
        <v>Such cases did not occur.</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Question 8.17</v>
      </c>
      <c r="E56" s="348" t="str">
        <f>_xlfn.CONCAT(_xlfn.XLOOKUP("[S13_AnyOtherIssues][50][OtherInformationOrIssues]",Submission!$O:$O,Submission!$H:$N,""))</f>
        <v>According to the Atmospheric Air Protection Act paragraph 237. "Violation of requirements for emission allowances trading system" the violation of the requirements for the emission allowances trading system is punishable by a fine of up to 300 fine units. The same act, if committed by a legal person, is punishable by a fine of up to 32 000 euros.</v>
      </c>
      <c r="F56" s="348"/>
      <c r="G56" s="348"/>
      <c r="H56" s="348"/>
      <c r="I56" s="285"/>
    </row>
    <row r="57" spans="3:9" ht="27" customHeight="1" x14ac:dyDescent="0.3">
      <c r="C57" s="558"/>
      <c r="D57" s="161" t="str">
        <f>_xlfn.CONCAT(_xlfn.XLOOKUP("[S13_AnyOtherIssues][51][QuestionnaireSubQuestion]",Submission!$O:$O,Submission!$H:$N,""))</f>
        <v>Question 8.18</v>
      </c>
      <c r="E57" s="348" t="str">
        <f>_xlfn.CONCAT(_xlfn.XLOOKUP("[S13_AnyOtherIssues][51][OtherInformationOrIssues]",Submission!$O:$O,Submission!$H:$N,""))</f>
        <v>No infringements incurred and no penalties were imposed during the reporting period.</v>
      </c>
      <c r="F57" s="348"/>
      <c r="G57" s="348"/>
      <c r="H57" s="348"/>
      <c r="I57" s="285"/>
    </row>
    <row r="58" spans="3:9" ht="27" hidden="1" customHeight="1" outlineLevel="1" x14ac:dyDescent="0.3">
      <c r="C58" s="558"/>
      <c r="D58" s="161" t="str">
        <f>_xlfn.CONCAT(_xlfn.XLOOKUP("[S13_AnyOtherIssues][52][QuestionnaireSubQuestion]",Submission!$O:$O,Submission!$H:$N,""))</f>
        <v/>
      </c>
      <c r="E58" s="348" t="str">
        <f>_xlfn.CONCAT(_xlfn.XLOOKUP("[S13_AnyOtherIssues][52][OtherInformationOrIssues]",Submission!$O:$O,Submission!$H:$N,""))</f>
        <v/>
      </c>
      <c r="F58" s="348"/>
      <c r="G58" s="348"/>
      <c r="H58" s="348"/>
      <c r="I58" s="285"/>
    </row>
    <row r="59" spans="3:9" ht="27" hidden="1" customHeight="1" outlineLevel="1" x14ac:dyDescent="0.3">
      <c r="C59" s="558"/>
      <c r="D59" s="161" t="str">
        <f>_xlfn.CONCAT(_xlfn.XLOOKUP("[S13_AnyOtherIssues][53][QuestionnaireSubQuestion]",Submission!$O:$O,Submission!$H:$N,""))</f>
        <v/>
      </c>
      <c r="E59" s="348" t="str">
        <f>_xlfn.CONCAT(_xlfn.XLOOKUP("[S13_AnyOtherIssues][53][OtherInformationOrIssues]",Submission!$O:$O,Submission!$H:$N,""))</f>
        <v/>
      </c>
      <c r="F59" s="348"/>
      <c r="G59" s="348"/>
      <c r="H59" s="348"/>
      <c r="I59" s="285"/>
    </row>
    <row r="60" spans="3:9" ht="27" hidden="1" customHeight="1" outlineLevel="1" x14ac:dyDescent="0.3">
      <c r="C60" s="558"/>
      <c r="D60" s="161" t="str">
        <f>_xlfn.CONCAT(_xlfn.XLOOKUP("[S13_AnyOtherIssues][54][QuestionnaireSubQuestion]",Submission!$O:$O,Submission!$H:$N,""))</f>
        <v/>
      </c>
      <c r="E60" s="348" t="str">
        <f>_xlfn.CONCAT(_xlfn.XLOOKUP("[S13_AnyOtherIssues][54][OtherInformationOrIssues]",Submission!$O:$O,Submission!$H:$N,""))</f>
        <v/>
      </c>
      <c r="F60" s="348"/>
      <c r="G60" s="348"/>
      <c r="H60" s="348"/>
      <c r="I60" s="285"/>
    </row>
    <row r="61" spans="3:9" ht="27" hidden="1" customHeight="1" outlineLevel="1" x14ac:dyDescent="0.3">
      <c r="C61" s="558"/>
      <c r="D61" s="161" t="str">
        <f>_xlfn.CONCAT(_xlfn.XLOOKUP("[S13_AnyOtherIssues][55][QuestionnaireSubQuestion]",Submission!$O:$O,Submission!$H:$N,""))</f>
        <v/>
      </c>
      <c r="E61" s="348" t="str">
        <f>_xlfn.CONCAT(_xlfn.XLOOKUP("[S13_AnyOtherIssues][55][OtherInformationOrIssues]",Submission!$O:$O,Submission!$H:$N,""))</f>
        <v/>
      </c>
      <c r="F61" s="348"/>
      <c r="G61" s="348"/>
      <c r="H61" s="348"/>
      <c r="I61" s="285"/>
    </row>
    <row r="62" spans="3:9" ht="27" hidden="1" customHeight="1" outlineLevel="1" x14ac:dyDescent="0.3">
      <c r="C62" s="558"/>
      <c r="D62" s="161" t="str">
        <f>_xlfn.CONCAT(_xlfn.XLOOKUP("[S13_AnyOtherIssues][56][QuestionnaireSubQuestion]",Submission!$O:$O,Submission!$H:$N,""))</f>
        <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
      </c>
      <c r="E74" s="348" t="str">
        <f>_xlfn.CONCAT(_xlfn.XLOOKUP("[S13_AnyOtherIssues][68][OtherInformationOrIssues]",Submission!$O:$O,Submission!$H:$N,""))</f>
        <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Question 10.3</v>
      </c>
      <c r="E77" s="348" t="str">
        <f>_xlfn.CONCAT(_xlfn.XLOOKUP("[S13_AnyOtherIssues][71][OtherInformationOrIssues]",Submission!$O:$O,Submission!$H:$N,""))</f>
        <v>No infringements occurred.</v>
      </c>
      <c r="F77" s="348"/>
      <c r="G77" s="348"/>
      <c r="H77" s="348"/>
      <c r="I77" s="285"/>
    </row>
    <row r="78" spans="3:9" ht="27" customHeight="1" x14ac:dyDescent="0.3">
      <c r="C78" s="558"/>
      <c r="D78" s="161" t="str">
        <f>_xlfn.CONCAT(_xlfn.XLOOKUP("[S13_AnyOtherIssues][72][QuestionnaireSubQuestion]",Submission!$O:$O,Submission!$H:$N,""))</f>
        <v>Question 10.4</v>
      </c>
      <c r="E78" s="348" t="str">
        <f>_xlfn.CONCAT(_xlfn.XLOOKUP("[S13_AnyOtherIssues][72][OtherInformationOrIssues]",Submission!$O:$O,Submission!$H:$N,""))</f>
        <v>We did not have such operators.</v>
      </c>
      <c r="F78" s="348"/>
      <c r="G78" s="348"/>
      <c r="H78" s="348"/>
      <c r="I78" s="285"/>
    </row>
    <row r="79" spans="3:9" ht="27" hidden="1" customHeight="1" outlineLevel="1" x14ac:dyDescent="0.3">
      <c r="C79" s="558"/>
      <c r="D79" s="161" t="str">
        <f>_xlfn.CONCAT(_xlfn.XLOOKUP("[S13_AnyOtherIssues][73][QuestionnaireSubQuestion]",Submission!$O:$O,Submission!$H:$N,""))</f>
        <v>Question 10.7</v>
      </c>
      <c r="E79" s="348" t="str">
        <f>_xlfn.CONCAT(_xlfn.XLOOKUP("[S13_AnyOtherIssues][73][OtherInformationOrIssues]",Submission!$O:$O,Submission!$H:$N,""))</f>
        <v>We did not have any violations.</v>
      </c>
      <c r="F79" s="348"/>
      <c r="G79" s="348"/>
      <c r="H79" s="348"/>
      <c r="I79" s="285"/>
    </row>
    <row r="80" spans="3:9" ht="27" hidden="1" customHeight="1" outlineLevel="1" x14ac:dyDescent="0.3">
      <c r="C80" s="558"/>
      <c r="D80" s="161" t="str">
        <f>_xlfn.CONCAT(_xlfn.XLOOKUP("[S13_AnyOtherIssues][74][QuestionnaireSubQuestion]",Submission!$O:$O,Submission!$H:$N,""))</f>
        <v>Question 10.8</v>
      </c>
      <c r="E80" s="348" t="str">
        <f>_xlfn.CONCAT(_xlfn.XLOOKUP("[S13_AnyOtherIssues][74][OtherInformationOrIssues]",Submission!$O:$O,Submission!$H:$N,""))</f>
        <v>We did not have such aircraft operators.</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Question 12.1</v>
      </c>
      <c r="E90" s="348" t="str">
        <f>_xlfn.CONCAT(_xlfn.XLOOKUP("[S13_AnyOtherIssues][84][OtherInformationOrIssues]",Submission!$O:$O,Submission!$H:$N,""))</f>
        <v>We have no specific arrangements in place concerning fraudulent activities related to the free allocation of allowances but in case of fraudulent activites we can apply liability provisions in the Atmospheric Air Protection Act. According to the Atmospheric Air Protection Act paragraph 237 "Violation of requirements for emission allowances trading system" the violation of the requirements for the emission allowances trading system is punishable by a fine of up to 300 fine units. The same act, if committed by a legal person, is punishable by a fine of up to 32 000 euros.</v>
      </c>
      <c r="F90" s="348"/>
      <c r="G90" s="348"/>
      <c r="H90" s="348"/>
      <c r="I90" s="285"/>
    </row>
    <row r="91" spans="1:9" ht="27" customHeight="1" x14ac:dyDescent="0.3">
      <c r="C91" s="354"/>
      <c r="D91" s="161" t="str">
        <f>_xlfn.CONCAT(_xlfn.XLOOKUP("[S13_AnyOtherIssues][85][QuestionnaireSubQuestion]",Submission!$O:$O,Submission!$H:$N,""))</f>
        <v>Question 12.2</v>
      </c>
      <c r="E91" s="348" t="str">
        <f>_xlfn.CONCAT(_xlfn.XLOOKUP("[S13_AnyOtherIssues][85][OtherInformationOrIssues]",Submission!$O:$O,Submission!$H:$N,""))</f>
        <v>We have no specific arrangements in place concerning fraudulent activities related to the free allocation of allowances but in case of fraudulent activites we can apply liability provisions in the Atmospheric Air Protection Act. According to the Atmospheric Air Protection Act paragraph 237 "Violation of requirements for emission allowances trading system" the violation of the requirements for the emission allowances trading system is punishable by a fine of up to 300 fine units. The same act, if committed by a legal person, is punishable by a fine of up to 32 000 euros.</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13</v>
      </c>
      <c r="AL2">
        <f>IFERROR(MATCH("",$AL$3:$AL$19,0)-1,0)</f>
        <v>13</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KeM</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KeA</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Several sanction types are laid down in the national legislation.</v>
      </c>
      <c r="AL15" t="str">
        <f>'Q 10'!D158</f>
        <v>Several sanction types are laid down in the national legislation.</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
      </c>
      <c r="AL16" t="str">
        <f>'Q 10'!D159</f>
        <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Environmental Board, Climate and Ambient Air Bureau</v>
      </c>
      <c r="F5" s="241"/>
      <c r="G5" s="241"/>
      <c r="H5" s="241"/>
      <c r="I5" s="242"/>
    </row>
    <row r="6" spans="1:9" s="69" customFormat="1" ht="14.4" x14ac:dyDescent="0.3">
      <c r="A6" s="68"/>
      <c r="C6" s="238" t="s">
        <v>654</v>
      </c>
      <c r="D6" s="239"/>
      <c r="E6" s="240" t="str">
        <f>_xlfn.CONCAT(_xlfn.XLOOKUP("[S01_InstitutionDetails][0][ContactPersonName]",Submission!$O:$O,Submission!$H:$N,""))</f>
        <v>Ms Annika Konovalov</v>
      </c>
      <c r="F6" s="241"/>
      <c r="G6" s="241"/>
      <c r="H6" s="241"/>
      <c r="I6" s="242"/>
    </row>
    <row r="7" spans="1:9" s="69" customFormat="1" ht="14.4" x14ac:dyDescent="0.3">
      <c r="A7" s="68"/>
      <c r="C7" s="238" t="s">
        <v>655</v>
      </c>
      <c r="D7" s="239"/>
      <c r="E7" s="240" t="str">
        <f>_xlfn.CONCAT(_xlfn.XLOOKUP("[S01_InstitutionDetails][0][ContactPersonJobTitle]",Submission!$O:$O,Submission!$H:$N,""))</f>
        <v>Chief Climate Officer</v>
      </c>
      <c r="F7" s="241"/>
      <c r="G7" s="241"/>
      <c r="H7" s="241"/>
      <c r="I7" s="242"/>
    </row>
    <row r="8" spans="1:9" s="69" customFormat="1" ht="14.4" x14ac:dyDescent="0.3">
      <c r="A8" s="68"/>
      <c r="C8" s="238" t="s">
        <v>656</v>
      </c>
      <c r="D8" s="239"/>
      <c r="E8" s="240" t="str">
        <f>_xlfn.CONCAT(_xlfn.XLOOKUP("[S01_InstitutionDetails][0][Address]",Submission!$O:$O,Submission!$H:$N,""))</f>
        <v>Roheline 64, Pärnu 80010</v>
      </c>
      <c r="F8" s="241"/>
      <c r="G8" s="241"/>
      <c r="H8" s="241"/>
      <c r="I8" s="242"/>
    </row>
    <row r="9" spans="1:9" s="69" customFormat="1" ht="14.4" x14ac:dyDescent="0.3">
      <c r="A9" s="68"/>
      <c r="C9" s="238" t="s">
        <v>657</v>
      </c>
      <c r="D9" s="239"/>
      <c r="E9" s="243" t="str">
        <f>_xlfn.CONCAT(_xlfn.XLOOKUP("[S01_InstitutionDetails][0][InternationalTelephoneNumber]",Submission!$O:$O,Submission!$H:$N,""))</f>
        <v>3726625999</v>
      </c>
      <c r="F9" s="244"/>
      <c r="G9" s="244"/>
      <c r="H9" s="244"/>
      <c r="I9" s="245"/>
    </row>
    <row r="10" spans="1:9" s="69" customFormat="1" ht="14.4" x14ac:dyDescent="0.3">
      <c r="A10" s="68"/>
      <c r="C10" s="238" t="s">
        <v>658</v>
      </c>
      <c r="D10" s="239"/>
      <c r="E10" s="247" t="str">
        <f>_xlfn.CONCAT(_xlfn.XLOOKUP("[S01_InstitutionDetails][0][EMail]",Submission!$O:$O,Submission!$H:$N,""))</f>
        <v>info@keskkonnaamet.ee</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Keskkonnaministeerium (Ministry of the Environment)</v>
      </c>
      <c r="D7" s="72" t="str">
        <f>_xlfn.CONCAT(_xlfn.XLOOKUP("[S02_CompetentAuthority][1][CAAbbreviation]",Submission!$O:$O,Submission!$H:$N,""))</f>
        <v>KeM</v>
      </c>
      <c r="E7" s="72" t="str">
        <f>_xlfn.CONCAT(_xlfn.XLOOKUP("[S02_CompetentAuthority][1][CAType]",Submission!$O:$O,Submission!$H:$N,""))</f>
        <v>Central competent authority</v>
      </c>
      <c r="F7" s="105" t="str">
        <f>_xlfn.CONCAT(_xlfn.XLOOKUP("[S02_CompetentAuthority][1][CANumber]",Submission!$O:$O,Submission!$H:$N,""))</f>
        <v/>
      </c>
      <c r="G7" s="172" t="str">
        <f>_xlfn.CONCAT(_xlfn.XLOOKUP("[S02_CompetentAuthority][1][CATelephone]",Submission!$O:$O,Submission!$H:$N,""))</f>
        <v>3726262802</v>
      </c>
      <c r="H7" s="83" t="str">
        <f>_xlfn.CONCAT(_xlfn.XLOOKUP("[S02_CompetentAuthority][1][CAEmail]",Submission!$O:$O,Submission!$H:$N,""))</f>
        <v>keskkonnaministeerium@envir.ee</v>
      </c>
      <c r="I7" s="72" t="str">
        <f>_xlfn.CONCAT(_xlfn.XLOOKUP("[S02_CompetentAuthority][1][CAWebsite]",Submission!$O:$O,Submission!$H:$N,""))</f>
        <v>www.envir.ee</v>
      </c>
      <c r="J7" s="79"/>
    </row>
    <row r="8" spans="1:11" s="58" customFormat="1" ht="15.9" customHeight="1" x14ac:dyDescent="0.3">
      <c r="B8" s="79"/>
      <c r="C8" s="71" t="str">
        <f>_xlfn.CONCAT(_xlfn.XLOOKUP("[S02_CompetentAuthority][2][CAName]",Submission!$O:$O,Submission!$H:$N,""))</f>
        <v>Keskkonnaamet (Environmental Board)</v>
      </c>
      <c r="D8" s="72" t="str">
        <f>_xlfn.CONCAT(_xlfn.XLOOKUP("[S02_CompetentAuthority][2][CAAbbreviation]",Submission!$O:$O,Submission!$H:$N,""))</f>
        <v>KeA</v>
      </c>
      <c r="E8" s="72" t="str">
        <f>_xlfn.CONCAT(_xlfn.XLOOKUP("[S02_CompetentAuthority][2][CAType]",Submission!$O:$O,Submission!$H:$N,""))</f>
        <v>Central competent authority</v>
      </c>
      <c r="F8" s="105" t="str">
        <f>_xlfn.CONCAT(_xlfn.XLOOKUP("[S02_CompetentAuthority][2][CANumber]",Submission!$O:$O,Submission!$H:$N,""))</f>
        <v/>
      </c>
      <c r="G8" s="172" t="str">
        <f>_xlfn.CONCAT(_xlfn.XLOOKUP("[S02_CompetentAuthority][2][CATelephone]",Submission!$O:$O,Submission!$H:$N,""))</f>
        <v>3726625999</v>
      </c>
      <c r="H8" s="83" t="str">
        <f>_xlfn.CONCAT(_xlfn.XLOOKUP("[S02_CompetentAuthority][2][CAEmail]",Submission!$O:$O,Submission!$H:$N,""))</f>
        <v>info@keskkonnaamet.ee</v>
      </c>
      <c r="I8" s="72" t="str">
        <f>_xlfn.CONCAT(_xlfn.XLOOKUP("[S02_CompetentAuthority][2][CAWebsite]",Submission!$O:$O,Submission!$H:$N,""))</f>
        <v>www.keskkonnaamet.ee</v>
      </c>
      <c r="J8" s="79"/>
    </row>
    <row r="9" spans="1:11" s="58" customFormat="1" ht="15.9" customHeight="1" x14ac:dyDescent="0.3">
      <c r="B9" s="79"/>
      <c r="C9" s="71" t="str">
        <f>_xlfn.CONCAT(_xlfn.XLOOKUP("[S02_CompetentAuthority][3][CAName]",Submission!$O:$O,Submission!$H:$N,""))</f>
        <v/>
      </c>
      <c r="D9" s="72" t="str">
        <f>_xlfn.CONCAT(_xlfn.XLOOKUP("[S02_CompetentAuthority][3][CAAbbreviation]",Submission!$O:$O,Submission!$H:$N,""))</f>
        <v/>
      </c>
      <c r="E9" s="72" t="str">
        <f>_xlfn.CONCAT(_xlfn.XLOOKUP("[S02_CompetentAuthority][3][CAType]",Submission!$O:$O,Submission!$H:$N,""))</f>
        <v/>
      </c>
      <c r="F9" s="105" t="str">
        <f>_xlfn.CONCAT(_xlfn.XLOOKUP("[S02_CompetentAuthority][3][CANumber]",Submission!$O:$O,Submission!$H:$N,""))</f>
        <v/>
      </c>
      <c r="G9" s="172" t="str">
        <f>_xlfn.CONCAT(_xlfn.XLOOKUP("[S02_CompetentAuthority][3][CATelephone]",Submission!$O:$O,Submission!$H:$N,""))</f>
        <v/>
      </c>
      <c r="H9" s="83" t="str">
        <f>_xlfn.CONCAT(_xlfn.XLOOKUP("[S02_CompetentAuthority][3][CAEmail]",Submission!$O:$O,Submission!$H:$N,""))</f>
        <v/>
      </c>
      <c r="I9" s="72" t="str">
        <f>_xlfn.CONCAT(_xlfn.XLOOKUP("[S02_CompetentAuthority][3][CAWebsite]",Submission!$O:$O,Submission!$H:$N,""))</f>
        <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2"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2"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Eesti Akrediteerimiskeskus (Estonian Accreditation Centre)</v>
      </c>
      <c r="D39" s="268"/>
      <c r="E39" s="72" t="str">
        <f>_xlfn.CONCAT(_xlfn.XLOOKUP("[S02_AccreditationBody][1][AccBodyAbbreviation]",Submission!$O:$O,Submission!$H:$N,""))</f>
        <v>EAK</v>
      </c>
      <c r="F39" s="172" t="str">
        <f>_xlfn.CONCAT(_xlfn.XLOOKUP("[S02_AccreditationBody][1][AccBodyTelephone]",Submission!$O:$O,Submission!$H:$N,""))</f>
        <v>3726055050</v>
      </c>
      <c r="G39" s="77" t="str">
        <f>_xlfn.CONCAT(_xlfn.XLOOKUP("[S02_AccreditationBody][1][AccBodyEmail]",Submission!$O:$O,Submission!$H:$N,""))</f>
        <v>info@eak.ee</v>
      </c>
      <c r="H39" s="255" t="str">
        <f>_xlfn.CONCAT(_xlfn.XLOOKUP("[S02_AccreditationBody][1][AccBodyWebsite]",Submission!$O:$O,Submission!$H:$N,""))</f>
        <v>www.eak.ee</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Keskkonnaamet</v>
      </c>
      <c r="D49" s="268"/>
      <c r="E49" s="72" t="str">
        <f>_xlfn.CONCAT(_xlfn.XLOOKUP("[S02_RegistryAdministrator][1][RegAdminAbbreviation]",Submission!$O:$O,Submission!$H:$N,""))</f>
        <v>KeA</v>
      </c>
      <c r="F49" s="172" t="str">
        <f>_xlfn.CONCAT(_xlfn.XLOOKUP("[S02_RegistryAdministrator][1][RegAdminTelephone]",Submission!$O:$O,Submission!$H:$N,""))</f>
        <v>37256944935</v>
      </c>
      <c r="G49" s="77" t="str">
        <f>_xlfn.CONCAT(_xlfn.XLOOKUP("[S02_RegistryAdministrator][1][RegAdminEmail]",Submission!$O:$O,Submission!$H:$N,""))</f>
        <v>khgregister@keskkonnaamet.ee</v>
      </c>
      <c r="H49" s="255" t="str">
        <f>_xlfn.CONCAT(_xlfn.XLOOKUP("[S02_RegistryAdministrator][1][RegAdminWebsite]",Submission!$O:$O,Submission!$H:$N,""))</f>
        <v>https://keskkonnaamet.ee/keskkonnakasutus-keskkonnatasu/ohk-ja-kliima/kasvuhoonegaasid</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KeA</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KeA</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KeA</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KeA</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KeA</v>
      </c>
      <c r="I58" s="252"/>
    </row>
    <row r="59" spans="1:9" s="79" customFormat="1" ht="28.95" customHeight="1" x14ac:dyDescent="0.3">
      <c r="A59" s="78"/>
      <c r="C59" s="238" t="s">
        <v>691</v>
      </c>
      <c r="D59" s="263"/>
      <c r="E59" s="264"/>
      <c r="F59" s="251" t="str">
        <f>_xlfn.CONCAT(_xlfn.XLOOKUP("[S02_CompetentAuthorityRoles][6][CAForInstallationTask]",Submission!$O:$O,Submission!$H:$N,""))</f>
        <v>KeM</v>
      </c>
      <c r="G59" s="252"/>
      <c r="H59" s="251" t="str">
        <f>_xlfn.CONCAT(_xlfn.XLOOKUP("[S02_CompetentAuthorityRoles][6][CAForAviationTask]",Submission!$O:$O,Submission!$H:$N,""))</f>
        <v>KeM</v>
      </c>
      <c r="I59" s="252"/>
    </row>
    <row r="60" spans="1:9" s="79" customFormat="1" ht="28.95" customHeight="1" x14ac:dyDescent="0.3">
      <c r="A60" s="78"/>
      <c r="C60" s="238" t="s">
        <v>42</v>
      </c>
      <c r="D60" s="263"/>
      <c r="E60" s="264"/>
      <c r="F60" s="251" t="str">
        <f>_xlfn.CONCAT(_xlfn.XLOOKUP("[S02_CompetentAuthorityRoles][7][CAForInstallationTask]",Submission!$O:$O,Submission!$H:$N,""))</f>
        <v>KeA</v>
      </c>
      <c r="G60" s="252"/>
      <c r="H60" s="251" t="str">
        <f>_xlfn.CONCAT(_xlfn.XLOOKUP("[S02_CompetentAuthorityRoles][7][CAForAviationTask]",Submission!$O:$O,Submission!$H:$N,""))</f>
        <v>KeA</v>
      </c>
      <c r="I60" s="252"/>
    </row>
    <row r="61" spans="1:9" s="79" customFormat="1" ht="28.95" customHeight="1" x14ac:dyDescent="0.3">
      <c r="A61" s="78"/>
      <c r="C61" s="238" t="s">
        <v>692</v>
      </c>
      <c r="D61" s="263"/>
      <c r="E61" s="264"/>
      <c r="F61" s="251" t="str">
        <f>_xlfn.CONCAT(_xlfn.XLOOKUP("[S02_CompetentAuthorityRoles][8][CAForInstallationTask]",Submission!$O:$O,Submission!$H:$N,""))</f>
        <v>KeA</v>
      </c>
      <c r="G61" s="252"/>
      <c r="H61" s="251" t="str">
        <f>_xlfn.CONCAT(_xlfn.XLOOKUP("[S02_CompetentAuthorityRoles][8][CAForAviationTask]",Submission!$O:$O,Submission!$H:$N,""))</f>
        <v>KeA</v>
      </c>
      <c r="I61" s="252"/>
    </row>
    <row r="62" spans="1:9" s="79" customFormat="1" ht="28.95" customHeight="1" x14ac:dyDescent="0.3">
      <c r="A62" s="78"/>
      <c r="C62" s="238" t="s">
        <v>693</v>
      </c>
      <c r="D62" s="263"/>
      <c r="E62" s="264"/>
      <c r="F62" s="251" t="str">
        <f>_xlfn.CONCAT(_xlfn.XLOOKUP("[S02_CompetentAuthorityRoles][9][CAForInstallationTask]",Submission!$O:$O,Submission!$H:$N,""))</f>
        <v>KeA</v>
      </c>
      <c r="G62" s="252"/>
      <c r="H62" s="251" t="str">
        <f>_xlfn.CONCAT(_xlfn.XLOOKUP("[S02_CompetentAuthorityRoles][9][CAForAviationTask]",Submission!$O:$O,Submission!$H:$N,""))</f>
        <v>KeA</v>
      </c>
      <c r="I62" s="252"/>
    </row>
    <row r="63" spans="1:9" s="79" customFormat="1" ht="28.95" customHeight="1" x14ac:dyDescent="0.3">
      <c r="A63" s="78"/>
      <c r="C63" s="238" t="s">
        <v>694</v>
      </c>
      <c r="D63" s="263"/>
      <c r="E63" s="264"/>
      <c r="F63" s="251" t="str">
        <f>_xlfn.CONCAT(_xlfn.XLOOKUP("[S02_CompetentAuthorityRoles][10][CAForInstallationTask]",Submission!$O:$O,Submission!$H:$N,""))</f>
        <v>KeA</v>
      </c>
      <c r="G63" s="252"/>
      <c r="H63" s="251" t="str">
        <f>_xlfn.CONCAT(_xlfn.XLOOKUP("[S02_CompetentAuthorityRoles][10][CAForAviationTask]",Submission!$O:$O,Submission!$H:$N,""))</f>
        <v>KeA</v>
      </c>
      <c r="I63" s="252"/>
    </row>
    <row r="64" spans="1:9" s="79" customFormat="1" ht="28.95" customHeight="1" x14ac:dyDescent="0.3">
      <c r="A64" s="78"/>
      <c r="C64" s="238" t="s">
        <v>46</v>
      </c>
      <c r="D64" s="263"/>
      <c r="E64" s="264"/>
      <c r="F64" s="251" t="str">
        <f>_xlfn.CONCAT(_xlfn.XLOOKUP("[S02_CompetentAuthorityRoles][11][CAForInstallationTask]",Submission!$O:$O,Submission!$H:$N,""))</f>
        <v>KeA</v>
      </c>
      <c r="G64" s="252"/>
      <c r="H64" s="251" t="str">
        <f>_xlfn.CONCAT(_xlfn.XLOOKUP("[S02_CompetentAuthorityRoles][11][CAForAviationTask]",Submission!$O:$O,Submission!$H:$N,""))</f>
        <v>KeA</v>
      </c>
      <c r="I64" s="252"/>
    </row>
    <row r="65" spans="1:9" s="79" customFormat="1" ht="28.95" customHeight="1" x14ac:dyDescent="0.3">
      <c r="A65" s="78"/>
      <c r="C65" s="238" t="s">
        <v>695</v>
      </c>
      <c r="D65" s="263"/>
      <c r="E65" s="264"/>
      <c r="F65" s="251" t="str">
        <f>_xlfn.CONCAT(_xlfn.XLOOKUP("[S02_CompetentAuthorityRoles][12][CAForInstallationTask]",Submission!$O:$O,Submission!$H:$N,""))</f>
        <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
      </c>
      <c r="G66" s="252"/>
      <c r="H66" s="250"/>
      <c r="I66" s="250"/>
    </row>
    <row r="67" spans="1:9" s="79" customFormat="1" ht="28.95" customHeight="1" x14ac:dyDescent="0.3">
      <c r="A67" s="78"/>
      <c r="C67" s="80" t="s">
        <v>697</v>
      </c>
      <c r="D67" s="286" t="str">
        <f>_xlfn.CONCAT(_xlfn.XLOOKUP("[S02_CompetentAuthorityRoles][14][OtherDescription]",Submission!$O:$O,Submission!$H:$N,""))</f>
        <v/>
      </c>
      <c r="E67" s="286"/>
      <c r="F67" s="251" t="str">
        <f>_xlfn.CONCAT(_xlfn.XLOOKUP("[S02_CompetentAuthorityRoles][14][CAForInstallationTask]",Submission!$O:$O,Submission!$H:$N,""))</f>
        <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Keskkonnaamet (Environmental Board)</v>
      </c>
      <c r="D82" s="286"/>
      <c r="E82" s="286"/>
      <c r="F82" s="286"/>
      <c r="G82" s="286" t="str">
        <f>_xlfn.CONCAT(_xlfn.XLOOKUP("[S02_CAFocalPoint][0][CAArt70Abbrev]",Submission!$O:$O,Submission!$H:$N,""))</f>
        <v>KeA</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
      </c>
      <c r="H86" s="284" t="str">
        <f>_xlfn.CONCAT(_xlfn.XLOOKUP("[S02_CompetentAuthorityCoordination][1][CACoordinationComment]",Submission!$O:$O,Submission!$H:$N,""))</f>
        <v>KeA is responsible for the implementation of the EU ETS and KeM is responsible for policy making and auctioning.</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
      </c>
      <c r="H87" s="284" t="str">
        <f>_xlfn.CONCAT(_xlfn.XLOOKUP("[S02_CompetentAuthorityCoordination][2][CACoordinationComment]",Submission!$O:$O,Submission!$H:$N,""))</f>
        <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
      </c>
      <c r="H88" s="284" t="str">
        <f>_xlfn.CONCAT(_xlfn.XLOOKUP("[S02_CompetentAuthorityCoordination][3][CACoordinationComment]",Submission!$O:$O,Submission!$H:$N,""))</f>
        <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
      </c>
      <c r="H89" s="284" t="str">
        <f>_xlfn.CONCAT(_xlfn.XLOOKUP("[S02_CompetentAuthorityCoordination][4][CACoordinationComment]",Submission!$O:$O,Submission!$H:$N,""))</f>
        <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
      </c>
      <c r="H90" s="284" t="str">
        <f>_xlfn.CONCAT(_xlfn.XLOOKUP("[S02_CompetentAuthorityCoordination][5][CACoordinationComment]",Submission!$O:$O,Submission!$H:$N,""))</f>
        <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
      </c>
      <c r="H91" s="284" t="str">
        <f>_xlfn.CONCAT(_xlfn.XLOOKUP("[S02_CompetentAuthorityCoordination][6][CACoordinationComment]",Submission!$O:$O,Submission!$H:$N,""))</f>
        <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No</v>
      </c>
      <c r="H100" s="281" t="str">
        <f>_xlfn.CONCAT(_xlfn.XLOOKUP("[S02_InformationExchangeAccBodyAndCA][1][InfoExchangeComment]",Submission!$O:$O,Submission!$H:$N,""))</f>
        <v>Meetings are organised irregularly.</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No</v>
      </c>
      <c r="H101" s="281" t="str">
        <f>_xlfn.CONCAT(_xlfn.XLOOKUP("[S02_InformationExchangeAccBodyAndCA][2][InfoExchangeComment]",Submission!$O:$O,Submission!$H:$N,""))</f>
        <v>Discussions are held irregularly.</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Yes</v>
      </c>
      <c r="H102" s="281" t="str">
        <f>_xlfn.CONCAT(_xlfn.XLOOKUP("[S02_InformationExchangeAccBodyAndCA][3][InfoExchangeComment]",Submission!$O:$O,Submission!$H:$N,""))</f>
        <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44</v>
      </c>
      <c r="H7" s="334"/>
      <c r="I7" s="335"/>
    </row>
    <row r="8" spans="1:9" s="7" customFormat="1" ht="15" customHeight="1" x14ac:dyDescent="0.3">
      <c r="A8" s="8"/>
      <c r="C8" s="320" t="s">
        <v>727</v>
      </c>
      <c r="D8" s="331"/>
      <c r="E8" s="331"/>
      <c r="F8" s="332"/>
      <c r="G8" s="333" t="str">
        <f>_xlfn.CONCAT(_xlfn.XLOOKUP("[S03_EmittingInstallations][2][NumberOfInstallations]",Submission!$O:$O,Submission!$H:$N,""))</f>
        <v>35</v>
      </c>
      <c r="H8" s="334"/>
      <c r="I8" s="335"/>
    </row>
    <row r="9" spans="1:9" s="7" customFormat="1" ht="15" customHeight="1" x14ac:dyDescent="0.3">
      <c r="A9" s="8"/>
      <c r="C9" s="320" t="s">
        <v>728</v>
      </c>
      <c r="D9" s="331"/>
      <c r="E9" s="331"/>
      <c r="F9" s="332"/>
      <c r="G9" s="333" t="str">
        <f>_xlfn.CONCAT(_xlfn.XLOOKUP("[S03_EmittingInstallations][3][NumberOfInstallations]",Submission!$O:$O,Submission!$H:$N,""))</f>
        <v>3</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6</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27</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Yes</v>
      </c>
      <c r="I16" s="297"/>
    </row>
    <row r="17" spans="3:9" s="11" customFormat="1" ht="14.4" x14ac:dyDescent="0.3">
      <c r="C17" s="300" t="s">
        <v>735</v>
      </c>
      <c r="D17" s="301"/>
      <c r="E17" s="301"/>
      <c r="F17" s="301"/>
      <c r="G17" s="302"/>
      <c r="H17" s="296" t="str">
        <f>_xlfn.CONCAT(_xlfn.XLOOKUP("[S03_ActivityPermits][3][ActivityPermitsIssued]",Submission!$O:$O,Submission!$H:$N,""))</f>
        <v>No</v>
      </c>
      <c r="I17" s="297"/>
    </row>
    <row r="18" spans="3:9" s="11" customFormat="1" ht="14.4" x14ac:dyDescent="0.3">
      <c r="C18" s="300" t="s">
        <v>736</v>
      </c>
      <c r="D18" s="301"/>
      <c r="E18" s="301"/>
      <c r="F18" s="301"/>
      <c r="G18" s="302"/>
      <c r="H18" s="296" t="str">
        <f>_xlfn.CONCAT(_xlfn.XLOOKUP("[S03_ActivityPermits][4][ActivityPermitsIssued]",Submission!$O:$O,Submission!$H:$N,""))</f>
        <v>No</v>
      </c>
      <c r="I18" s="297"/>
    </row>
    <row r="19" spans="3:9" s="11" customFormat="1" ht="14.4" x14ac:dyDescent="0.3">
      <c r="C19" s="300" t="s">
        <v>737</v>
      </c>
      <c r="D19" s="301"/>
      <c r="E19" s="301"/>
      <c r="F19" s="301"/>
      <c r="G19" s="302"/>
      <c r="H19" s="296" t="str">
        <f>_xlfn.CONCAT(_xlfn.XLOOKUP("[S03_ActivityPermits][5][ActivityPermitsIssued]",Submission!$O:$O,Submission!$H:$N,""))</f>
        <v>No</v>
      </c>
      <c r="I19" s="297"/>
    </row>
    <row r="20" spans="3:9" s="11" customFormat="1" ht="14.4" x14ac:dyDescent="0.3">
      <c r="C20" s="300" t="s">
        <v>738</v>
      </c>
      <c r="D20" s="301"/>
      <c r="E20" s="301"/>
      <c r="F20" s="301"/>
      <c r="G20" s="302"/>
      <c r="H20" s="296" t="str">
        <f>_xlfn.CONCAT(_xlfn.XLOOKUP("[S03_ActivityPermits][6][ActivityPermitsIssued]",Submission!$O:$O,Submission!$H:$N,""))</f>
        <v>No</v>
      </c>
      <c r="I20" s="297"/>
    </row>
    <row r="21" spans="3:9" s="11" customFormat="1" ht="14.4" x14ac:dyDescent="0.3">
      <c r="C21" s="300" t="s">
        <v>739</v>
      </c>
      <c r="D21" s="301"/>
      <c r="E21" s="301"/>
      <c r="F21" s="301"/>
      <c r="G21" s="302"/>
      <c r="H21" s="296" t="str">
        <f>_xlfn.CONCAT(_xlfn.XLOOKUP("[S03_ActivityPermits][7][ActivityPermitsIssued]",Submission!$O:$O,Submission!$H:$N,""))</f>
        <v>No</v>
      </c>
      <c r="I21" s="297"/>
    </row>
    <row r="22" spans="3:9" s="11" customFormat="1" ht="14.4" x14ac:dyDescent="0.3">
      <c r="C22" s="300" t="s">
        <v>740</v>
      </c>
      <c r="D22" s="301"/>
      <c r="E22" s="301"/>
      <c r="F22" s="301"/>
      <c r="G22" s="302"/>
      <c r="H22" s="296" t="str">
        <f>_xlfn.CONCAT(_xlfn.XLOOKUP("[S03_ActivityPermits][8][ActivityPermitsIssued]",Submission!$O:$O,Submission!$H:$N,""))</f>
        <v>No</v>
      </c>
      <c r="I22" s="297"/>
    </row>
    <row r="23" spans="3:9" s="11" customFormat="1" ht="14.4" x14ac:dyDescent="0.3">
      <c r="C23" s="300" t="s">
        <v>741</v>
      </c>
      <c r="D23" s="301"/>
      <c r="E23" s="301"/>
      <c r="F23" s="301"/>
      <c r="G23" s="302"/>
      <c r="H23" s="296" t="str">
        <f>_xlfn.CONCAT(_xlfn.XLOOKUP("[S03_ActivityPermits][9][ActivityPermitsIssued]",Submission!$O:$O,Submission!$H:$N,""))</f>
        <v>No</v>
      </c>
      <c r="I23" s="297"/>
    </row>
    <row r="24" spans="3:9" s="11" customFormat="1" ht="14.4" x14ac:dyDescent="0.3">
      <c r="C24" s="300" t="s">
        <v>742</v>
      </c>
      <c r="D24" s="301"/>
      <c r="E24" s="301"/>
      <c r="F24" s="301"/>
      <c r="G24" s="302"/>
      <c r="H24" s="296" t="str">
        <f>_xlfn.CONCAT(_xlfn.XLOOKUP("[S03_ActivityPermits][10][ActivityPermitsIssued]",Submission!$O:$O,Submission!$H:$N,""))</f>
        <v>No</v>
      </c>
      <c r="I24" s="297"/>
    </row>
    <row r="25" spans="3:9" s="11" customFormat="1" ht="14.4" x14ac:dyDescent="0.3">
      <c r="C25" s="300" t="s">
        <v>743</v>
      </c>
      <c r="D25" s="301"/>
      <c r="E25" s="301"/>
      <c r="F25" s="301"/>
      <c r="G25" s="302"/>
      <c r="H25" s="296" t="str">
        <f>_xlfn.CONCAT(_xlfn.XLOOKUP("[S03_ActivityPermits][11][ActivityPermitsIssued]",Submission!$O:$O,Submission!$H:$N,""))</f>
        <v>Yes</v>
      </c>
      <c r="I25" s="297"/>
    </row>
    <row r="26" spans="3:9" s="11" customFormat="1" ht="14.4" x14ac:dyDescent="0.3">
      <c r="C26" s="300" t="s">
        <v>744</v>
      </c>
      <c r="D26" s="301"/>
      <c r="E26" s="301"/>
      <c r="F26" s="301"/>
      <c r="G26" s="302"/>
      <c r="H26" s="296" t="str">
        <f>_xlfn.CONCAT(_xlfn.XLOOKUP("[S03_ActivityPermits][12][ActivityPermitsIssued]",Submission!$O:$O,Submission!$H:$N,""))</f>
        <v>Yes</v>
      </c>
      <c r="I26" s="297"/>
    </row>
    <row r="27" spans="3:9" s="11" customFormat="1" ht="14.4" x14ac:dyDescent="0.3">
      <c r="C27" s="300" t="s">
        <v>745</v>
      </c>
      <c r="D27" s="301"/>
      <c r="E27" s="301"/>
      <c r="F27" s="301"/>
      <c r="G27" s="302"/>
      <c r="H27" s="296" t="str">
        <f>_xlfn.CONCAT(_xlfn.XLOOKUP("[S03_ActivityPermits][13][ActivityPermitsIssued]",Submission!$O:$O,Submission!$H:$N,""))</f>
        <v>Yes</v>
      </c>
      <c r="I27" s="297"/>
    </row>
    <row r="28" spans="3:9" s="11" customFormat="1" ht="14.4" x14ac:dyDescent="0.3">
      <c r="C28" s="300" t="s">
        <v>746</v>
      </c>
      <c r="D28" s="301"/>
      <c r="E28" s="301"/>
      <c r="F28" s="301"/>
      <c r="G28" s="302"/>
      <c r="H28" s="296" t="str">
        <f>_xlfn.CONCAT(_xlfn.XLOOKUP("[S03_ActivityPermits][14][ActivityPermitsIssued]",Submission!$O:$O,Submission!$H:$N,""))</f>
        <v>No</v>
      </c>
      <c r="I28" s="297"/>
    </row>
    <row r="29" spans="3:9" s="11" customFormat="1" ht="14.4" x14ac:dyDescent="0.3">
      <c r="C29" s="300" t="s">
        <v>747</v>
      </c>
      <c r="D29" s="301"/>
      <c r="E29" s="301"/>
      <c r="F29" s="301"/>
      <c r="G29" s="302"/>
      <c r="H29" s="296" t="str">
        <f>_xlfn.CONCAT(_xlfn.XLOOKUP("[S03_ActivityPermits][15][ActivityPermitsIssued]",Submission!$O:$O,Submission!$H:$N,""))</f>
        <v>No</v>
      </c>
      <c r="I29" s="297"/>
    </row>
    <row r="30" spans="3:9" s="11" customFormat="1" ht="14.4" x14ac:dyDescent="0.3">
      <c r="C30" s="300" t="s">
        <v>748</v>
      </c>
      <c r="D30" s="301"/>
      <c r="E30" s="301"/>
      <c r="F30" s="301"/>
      <c r="G30" s="302"/>
      <c r="H30" s="296" t="str">
        <f>_xlfn.CONCAT(_xlfn.XLOOKUP("[S03_ActivityPermits][16][ActivityPermitsIssued]",Submission!$O:$O,Submission!$H:$N,""))</f>
        <v>Yes</v>
      </c>
      <c r="I30" s="297"/>
    </row>
    <row r="31" spans="3:9" s="11" customFormat="1" ht="14.4" x14ac:dyDescent="0.3">
      <c r="C31" s="300" t="s">
        <v>749</v>
      </c>
      <c r="D31" s="301"/>
      <c r="E31" s="301"/>
      <c r="F31" s="301"/>
      <c r="G31" s="302"/>
      <c r="H31" s="296" t="str">
        <f>_xlfn.CONCAT(_xlfn.XLOOKUP("[S03_ActivityPermits][17][ActivityPermitsIssued]",Submission!$O:$O,Submission!$H:$N,""))</f>
        <v>Yes</v>
      </c>
      <c r="I31" s="297"/>
    </row>
    <row r="32" spans="3:9" s="11" customFormat="1" ht="14.4" x14ac:dyDescent="0.3">
      <c r="C32" s="300" t="s">
        <v>750</v>
      </c>
      <c r="D32" s="301"/>
      <c r="E32" s="301"/>
      <c r="F32" s="301"/>
      <c r="G32" s="302"/>
      <c r="H32" s="296" t="str">
        <f>_xlfn.CONCAT(_xlfn.XLOOKUP("[S03_ActivityPermits][18][ActivityPermitsIssued]",Submission!$O:$O,Submission!$H:$N,""))</f>
        <v>No</v>
      </c>
      <c r="I32" s="297"/>
    </row>
    <row r="33" spans="1:9" s="11" customFormat="1" ht="14.4" x14ac:dyDescent="0.3">
      <c r="C33" s="300" t="s">
        <v>751</v>
      </c>
      <c r="D33" s="301"/>
      <c r="E33" s="301"/>
      <c r="F33" s="301"/>
      <c r="G33" s="302"/>
      <c r="H33" s="296" t="str">
        <f>_xlfn.CONCAT(_xlfn.XLOOKUP("[S03_ActivityPermits][19][ActivityPermitsIssued]",Submission!$O:$O,Submission!$H:$N,""))</f>
        <v>No</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No</v>
      </c>
      <c r="I36" s="297"/>
    </row>
    <row r="37" spans="1:9" s="11" customFormat="1" ht="14.4" x14ac:dyDescent="0.3">
      <c r="C37" s="300" t="s">
        <v>755</v>
      </c>
      <c r="D37" s="301"/>
      <c r="E37" s="301"/>
      <c r="F37" s="301"/>
      <c r="G37" s="302"/>
      <c r="H37" s="296" t="str">
        <f>_xlfn.CONCAT(_xlfn.XLOOKUP("[S03_ActivityPermits][23][ActivityPermitsIssued]",Submission!$O:$O,Submission!$H:$N,""))</f>
        <v>No</v>
      </c>
      <c r="I37" s="297"/>
    </row>
    <row r="38" spans="1:9" s="11" customFormat="1" ht="15" x14ac:dyDescent="0.3">
      <c r="C38" s="300" t="s">
        <v>756</v>
      </c>
      <c r="D38" s="301"/>
      <c r="E38" s="301"/>
      <c r="F38" s="301"/>
      <c r="G38" s="302"/>
      <c r="H38" s="296" t="str">
        <f>_xlfn.CONCAT(_xlfn.XLOOKUP("[S03_ActivityPermits][24][ActivityPermitsIssued]",Submission!$O:$O,Submission!$H:$N,""))</f>
        <v>No</v>
      </c>
      <c r="I38" s="297"/>
    </row>
    <row r="39" spans="1:9" s="11" customFormat="1" ht="15" x14ac:dyDescent="0.3">
      <c r="C39" s="300" t="s">
        <v>757</v>
      </c>
      <c r="D39" s="301"/>
      <c r="E39" s="301"/>
      <c r="F39" s="301"/>
      <c r="G39" s="302"/>
      <c r="H39" s="296" t="str">
        <f>_xlfn.CONCAT(_xlfn.XLOOKUP("[S03_ActivityPermits][25][ActivityPermitsIssued]",Submission!$O:$O,Submission!$H:$N,""))</f>
        <v>No</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No</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
      </c>
      <c r="D51" s="298"/>
      <c r="E51" s="299"/>
      <c r="F51" s="306" t="str">
        <f>_xlfn.CONCAT(_xlfn.XLOOKUP("[S03_InstallationsExcludedArt27Detail][1][InstallationsExcludedEmissions]",Submission!$O:$O,Submission!$H:$N,""))</f>
        <v/>
      </c>
      <c r="G51" s="307"/>
      <c r="H51" s="308" t="str">
        <f>_xlfn.CONCAT(_xlfn.XLOOKUP("[S03_InstallationsExcludedArt27Detail][1][InstallationsExceededThreshold]",Submission!$O:$O,Submission!$H:$N,""))</f>
        <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1</v>
      </c>
      <c r="H64" s="132" t="str">
        <f>_xlfn.CONCAT(_xlfn.XLOOKUP("[S03_AircraftAnnex1Activities][1][NumberNonCommercialOperators]",Submission!$O:$O,Submission!$H:$N,""))</f>
        <v>0</v>
      </c>
      <c r="I64" s="132" t="str">
        <f>_xlfn.CONCAT(_xlfn.XLOOKUP("[S03_AircraftAnnex1Activities][1][NumberTotalOperators]",Submission!$O:$O,Submission!$H:$N,""))</f>
        <v>1</v>
      </c>
    </row>
    <row r="65" spans="3:9" ht="15.9" customHeight="1" x14ac:dyDescent="0.3">
      <c r="C65" s="311" t="s">
        <v>782</v>
      </c>
      <c r="D65" s="312"/>
      <c r="E65" s="312"/>
      <c r="F65" s="313"/>
      <c r="G65" s="132" t="str">
        <f>_xlfn.CONCAT(_xlfn.XLOOKUP("[S03_AircraftAnnex1Activities][2][NumberCommercialOperators]",Submission!$O:$O,Submission!$H:$N,""))</f>
        <v>0</v>
      </c>
      <c r="H65" s="132" t="str">
        <f>_xlfn.CONCAT(_xlfn.XLOOKUP("[S03_AircraftAnnex1Activities][2][NumberNonCommercialOperators]",Submission!$O:$O,Submission!$H:$N,""))</f>
        <v>0</v>
      </c>
      <c r="I65" s="132" t="str">
        <f>_xlfn.CONCAT(_xlfn.XLOOKUP("[S03_AircraftAnnex1Activities][2][NumberTotalOperators]",Submission!$O:$O,Submission!$H:$N,""))</f>
        <v>0</v>
      </c>
    </row>
    <row r="66" spans="3:9" ht="15.9" customHeight="1" x14ac:dyDescent="0.3">
      <c r="C66" s="311" t="s">
        <v>780</v>
      </c>
      <c r="D66" s="312"/>
      <c r="E66" s="312"/>
      <c r="F66" s="313"/>
      <c r="G66" s="132" t="str">
        <f>_xlfn.CONCAT(_xlfn.XLOOKUP("[S03_AircraftAnnex1Activities][3][NumberCommercialOperators]",Submission!$O:$O,Submission!$H:$N,""))</f>
        <v>1</v>
      </c>
      <c r="H66" s="132" t="str">
        <f>_xlfn.CONCAT(_xlfn.XLOOKUP("[S03_AircraftAnnex1Activities][3][NumberNonCommercialOperators]",Submission!$O:$O,Submission!$H:$N,""))</f>
        <v>0</v>
      </c>
      <c r="I66" s="132" t="str">
        <f>_xlfn.CONCAT(_xlfn.XLOOKUP("[S03_AircraftAnnex1Activities][3][NumberTotalOperators]",Submission!$O:$O,Submission!$H:$N,""))</f>
        <v>1</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Yes</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
      </c>
      <c r="H9" s="284" t="str">
        <f>_xlfn.CONCAT(_xlfn.XLOOKUP("[S04_IEDProcedureRequirementsIntegratedYes][2][IntegrationComments]",Submission!$O:$O,Submission!$H:$N,""))</f>
        <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
      </c>
      <c r="H10" s="284" t="str">
        <f>_xlfn.CONCAT(_xlfn.XLOOKUP("[S04_IEDProcedureRequirementsIntegratedYes][3][IntegrationComments]",Submission!$O:$O,Submission!$H:$N,""))</f>
        <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No</v>
      </c>
      <c r="H11" s="284" t="str">
        <f>_xlfn.CONCAT(_xlfn.XLOOKUP("[S04_IEDProcedureRequirementsIntegratedYes][4][IntegrationComments]",Submission!$O:$O,Submission!$H:$N,""))</f>
        <v>The approval of monitoring plans and assessment of annual emissions reports are carried out by the officers dealing only with the EU ETS implementation.</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No</v>
      </c>
      <c r="H12" s="284" t="str">
        <f>_xlfn.CONCAT(_xlfn.XLOOKUP("[S04_IEDProcedureRequirementsIntegratedYes][5][IntegrationComments]",Submission!$O:$O,Submission!$H:$N,""))</f>
        <v>Inspection of the EU ETS activities are carried out by the officers dealing only with the EU ETS implementation.</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No</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According to the General Part of the Environmental Code Act § 62, (1) The issuer of an environmental permit revokes the environmental permit: 1) at the request of the permit holder; 2) where the permit holder dies and the activity permitted under the permit is related to the person of the permit holder or the passive legal capacity of the permit holder terminates without legal succession; 3) where the activity permitted under the permit is not commenced within two years as of the granting of the permit. (2) The issuer of an environmental permit may revoke the environmental permit: 1) on the grounds provided for in § 59 of this Act where the public interest or the interest of a third party cannot effectively be protected by amending the permit; 2) where the permit holder does not fulfil the requirements provided by the permit or law and the revocation of the permit is demanded by an overriding public interest or the permit holder has been penalised for such offence; 3) where the permit holder has knowingly given false information that influenced the granting of the environmental permit. (3) Upon revocation of an environmental permit, clause 2 of subsection 4 of § 67 of the Administrative Procedure Code does not apply. (4) An environmental permit is revoked without open proceedings where, in the event of the validity of the permit, there is an environmental threat or a significant environmental nuisance or where the administrative authority does not consider it necessary to carry out open proceedings due to the minor effects arising from the revocation of the environmental permit. An integrated environmental permit is revoked, in addition to the provisions of subsection 62 (1) of the General Part of the Environmental Code Act, if: 1) it has become evident that the issuer of permits has been submitted false information or falsified documentation; [RT I, 10.07.2020, 2 - entry into force 01.01.2021] 2) the contamination caused by the installation is of such significance that the significant adverse impact caused thereby on the environment, human health, well-being, property and cultural heritage cannot be prevented without fundamental technological restructuring which requires application for a new integrated permit; 3) the operator has repeatedly or significantly violated the safety requirements in a dangerous enterprise or an enterprise liable to be affected by a major accident and thereby caused a risk of accidents or an accident and the Consumer Protection and Technical Regulatory Authority or the Rescue Board has proposed to the issuer of permits to revoke the integrated permit; 4) it has become evident that the techniques used in the installation do not allow to achieve the emission level associated with the best available techniques or the emission level provided for in the BAT conclusions.</v>
      </c>
      <c r="H19" s="345"/>
      <c r="I19" s="346"/>
    </row>
    <row r="20" spans="1:9" ht="15.9" customHeight="1" x14ac:dyDescent="0.3">
      <c r="C20" s="320" t="s">
        <v>797</v>
      </c>
      <c r="D20" s="321"/>
      <c r="E20" s="321"/>
      <c r="F20" s="343"/>
      <c r="G20" s="344" t="str">
        <f>_xlfn.CONCAT(_xlfn.XLOOKUP("[S04_NationalLawPermitUpdate][2][PermitUpdateNationalLawDetail]",Submission!$O:$O,Submission!$H:$N,""))</f>
        <v>Permits are issued indefinitely.</v>
      </c>
      <c r="H20" s="345"/>
      <c r="I20" s="346"/>
    </row>
    <row r="21" spans="1:9" ht="15.9" customHeight="1" x14ac:dyDescent="0.3">
      <c r="C21" s="320" t="s">
        <v>134</v>
      </c>
      <c r="D21" s="321"/>
      <c r="E21" s="321"/>
      <c r="F21" s="343"/>
      <c r="G21" s="344" t="str">
        <f>_xlfn.CONCAT(_xlfn.XLOOKUP("[S04_NationalLawPermitUpdate][3][PermitUpdateNationalLawDetail]",Submission!$O:$O,Submission!$H:$N,""))</f>
        <v>Changes in the capacity do not cause the change of the permit.</v>
      </c>
      <c r="H21" s="345"/>
      <c r="I21" s="346"/>
    </row>
    <row r="22" spans="1:9" ht="15.9" customHeight="1" x14ac:dyDescent="0.3">
      <c r="C22" s="320" t="s">
        <v>136</v>
      </c>
      <c r="D22" s="321"/>
      <c r="E22" s="321"/>
      <c r="F22" s="343"/>
      <c r="G22" s="344" t="str">
        <f>_xlfn.CONCAT(_xlfn.XLOOKUP("[S04_NationalLawPermitUpdate][4][PermitUpdateNationalLawDetail]",Submission!$O:$O,Submission!$H:$N,""))</f>
        <v>Changes in the capacity do not cause the change of the permit.</v>
      </c>
      <c r="H22" s="345"/>
      <c r="I22" s="346"/>
    </row>
    <row r="23" spans="1:9" ht="15.9" customHeight="1" x14ac:dyDescent="0.3">
      <c r="C23" s="320" t="s">
        <v>138</v>
      </c>
      <c r="D23" s="321"/>
      <c r="E23" s="321"/>
      <c r="F23" s="343"/>
      <c r="G23" s="344" t="str">
        <f>_xlfn.CONCAT(_xlfn.XLOOKUP("[S04_NationalLawPermitUpdate][5][PermitUpdateNationalLawDetail]",Submission!$O:$O,Submission!$H:$N,""))</f>
        <v>Permit change is required if installation starts a new activity.</v>
      </c>
      <c r="H23" s="345"/>
      <c r="I23" s="346"/>
    </row>
    <row r="24" spans="1:9" ht="15.9" customHeight="1" x14ac:dyDescent="0.3">
      <c r="C24" s="320" t="s">
        <v>798</v>
      </c>
      <c r="D24" s="321"/>
      <c r="E24" s="321"/>
      <c r="F24" s="343"/>
      <c r="G24" s="344" t="str">
        <f>_xlfn.CONCAT(_xlfn.XLOOKUP("[S04_NationalLawPermitUpdate][6][PermitUpdateNationalLawDetail]",Submission!$O:$O,Submission!$H:$N,""))</f>
        <v xml:space="preserve">When the content of the permit changes, e.g. the name and address of the operator.
</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1</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No</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No</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Yes</v>
      </c>
      <c r="H16" s="407" t="str">
        <f>_xlfn.CONCAT(_xlfn.XLOOKUP("[MeasuresStreamline][1][MeasuresStreamlineComments]",Submission!$O:$O,Submission!$H:$N,""))</f>
        <v xml:space="preserve">Greenhouse gas inventory reporting is done by the Estonian Environment Research Centre (EERC) on the basis of contract agreements with the Ministry of Environment (MoE). EERC gets the necessary information regarding ETS from Climate and Ambient Air Bureau of the Environmental Board who is also responsible for the ETS Reporting for Estonia therefore the information used for different Reporting is consistent. </v>
      </c>
      <c r="I16" s="407"/>
    </row>
    <row r="17" spans="1:9" s="58" customFormat="1" ht="32.4" customHeight="1" x14ac:dyDescent="0.3">
      <c r="C17" s="354" t="s">
        <v>816</v>
      </c>
      <c r="D17" s="354"/>
      <c r="E17" s="354"/>
      <c r="F17" s="354"/>
      <c r="G17" s="47" t="str">
        <f>_xlfn.CONCAT(_xlfn.XLOOKUP("[MeasuresStreamline][2][MeasuresStreamlineYesNo]",Submission!$O:$O,Submission!$H:$N,""))</f>
        <v>Yes</v>
      </c>
      <c r="H17" s="407" t="str">
        <f>_xlfn.CONCAT(_xlfn.XLOOKUP("[MeasuresStreamline][2][MeasuresStreamlineComments]",Submission!$O:$O,Submission!$H:$N,""))</f>
        <v>Cooperation with National Statistical office is based on an agreement, information is provided about different fuels and quantities used. Statistics Estonia use that information received from the Environmental Board for checking the consistency in energy consumption data to ensure better quality of energy data reported under the EU Energy Statistics Regulation 2008/1099.</v>
      </c>
      <c r="I17" s="407"/>
    </row>
    <row r="18" spans="1:9" s="58" customFormat="1" ht="32.4" customHeight="1" x14ac:dyDescent="0.3">
      <c r="C18" s="354" t="s">
        <v>817</v>
      </c>
      <c r="D18" s="354"/>
      <c r="E18" s="354"/>
      <c r="F18" s="354"/>
      <c r="G18" s="47" t="str">
        <f>_xlfn.CONCAT(_xlfn.XLOOKUP("[MeasuresStreamline][3][MeasuresStreamlineYesNo]",Submission!$O:$O,Submission!$H:$N,""))</f>
        <v>No</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
      </c>
      <c r="I19" s="407"/>
    </row>
    <row r="20" spans="1:9" s="58" customFormat="1" ht="32.4" customHeight="1" x14ac:dyDescent="0.3">
      <c r="C20" s="354" t="s">
        <v>819</v>
      </c>
      <c r="D20" s="354"/>
      <c r="E20" s="354"/>
      <c r="F20" s="354"/>
      <c r="G20" s="47" t="str">
        <f>_xlfn.CONCAT(_xlfn.XLOOKUP("[MeasuresStreamline][5][MeasuresStreamlineYesNo]",Submission!$O:$O,Submission!$H:$N,""))</f>
        <v>No</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No</v>
      </c>
      <c r="H21" s="407" t="str">
        <f>_xlfn.CONCAT(_xlfn.XLOOKUP("[MeasuresStreamline][6][MeasuresStreamlineComments]",Submission!$O:$O,Submission!$H:$N,""))</f>
        <v/>
      </c>
      <c r="I21" s="407"/>
    </row>
    <row r="22" spans="1:9" s="58" customFormat="1" ht="32.4" customHeight="1" x14ac:dyDescent="0.3">
      <c r="A22" s="75"/>
      <c r="C22" s="246" t="s">
        <v>821</v>
      </c>
      <c r="D22" s="263"/>
      <c r="E22" s="263"/>
      <c r="F22" s="264"/>
      <c r="G22" s="47" t="str">
        <f>_xlfn.CONCAT(_xlfn.XLOOKUP("[MeasuresStreamline][7][MeasuresStreamlineYesNo]",Submission!$O:$O,Submission!$H:$N,""))</f>
        <v>No</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Yes</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
      </c>
      <c r="G28" s="347"/>
      <c r="H28" s="397" t="str">
        <f>_xlfn.CONCAT(_xlfn.XLOOKUP("[S05_MSCustomisedTemplatesMRR1][1][HowTemplateSpecific]",Submission!$O:$O,Submission!$H:$N,""))</f>
        <v/>
      </c>
      <c r="I28" s="397"/>
    </row>
    <row r="29" spans="1:9" ht="15.9" customHeight="1" x14ac:dyDescent="0.3">
      <c r="C29" s="238" t="s">
        <v>828</v>
      </c>
      <c r="D29" s="283"/>
      <c r="E29" s="239"/>
      <c r="F29" s="281" t="str">
        <f>_xlfn.CONCAT(_xlfn.XLOOKUP("[S05_MSCustomisedTemplatesMRR1][2][SpecificTemplateOrFileFormat]",Submission!$O:$O,Submission!$H:$N,""))</f>
        <v/>
      </c>
      <c r="G29" s="347"/>
      <c r="H29" s="397" t="str">
        <f>_xlfn.CONCAT(_xlfn.XLOOKUP("[S05_MSCustomisedTemplatesMRR1][2][HowTemplateSpecific]",Submission!$O:$O,Submission!$H:$N,""))</f>
        <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No</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
      </c>
      <c r="G53" s="392"/>
      <c r="H53" s="393" t="str">
        <f>_xlfn.CONCAT(_xlfn.XLOOKUP("[S05_InstallationFuelConsEmissions][1][FuelAnnualEmissions]",Submission!$O:$O,Submission!$H:$N,""))</f>
        <v/>
      </c>
      <c r="I53" s="394"/>
    </row>
    <row r="54" spans="1:9" ht="15.9" customHeight="1" x14ac:dyDescent="0.3">
      <c r="C54" s="238" t="s">
        <v>197</v>
      </c>
      <c r="D54" s="283"/>
      <c r="E54" s="239"/>
      <c r="F54" s="391" t="str">
        <f>_xlfn.CONCAT(_xlfn.XLOOKUP("[S05_InstallationFuelConsEmissions][2][FuelConsumption]",Submission!$O:$O,Submission!$H:$N,""))</f>
        <v/>
      </c>
      <c r="G54" s="392"/>
      <c r="H54" s="393" t="str">
        <f>_xlfn.CONCAT(_xlfn.XLOOKUP("[S05_InstallationFuelConsEmissions][2][FuelAnnualEmissions]",Submission!$O:$O,Submission!$H:$N,""))</f>
        <v/>
      </c>
      <c r="I54" s="394"/>
    </row>
    <row r="55" spans="1:9" ht="15.9" customHeight="1" x14ac:dyDescent="0.3">
      <c r="C55" s="238" t="s">
        <v>199</v>
      </c>
      <c r="D55" s="283"/>
      <c r="E55" s="239"/>
      <c r="F55" s="391" t="str">
        <f>_xlfn.CONCAT(_xlfn.XLOOKUP("[S05_InstallationFuelConsEmissions][3][FuelConsumption]",Submission!$O:$O,Submission!$H:$N,""))</f>
        <v>110.64</v>
      </c>
      <c r="G55" s="392"/>
      <c r="H55" s="393" t="str">
        <f>_xlfn.CONCAT(_xlfn.XLOOKUP("[S05_InstallationFuelConsEmissions][3][FuelAnnualEmissions]",Submission!$O:$O,Submission!$H:$N,""))</f>
        <v>11715.14</v>
      </c>
      <c r="I55" s="394"/>
    </row>
    <row r="56" spans="1:9" ht="15.9" customHeight="1" x14ac:dyDescent="0.3">
      <c r="C56" s="238" t="s">
        <v>201</v>
      </c>
      <c r="D56" s="283"/>
      <c r="E56" s="239"/>
      <c r="F56" s="391" t="str">
        <f>_xlfn.CONCAT(_xlfn.XLOOKUP("[S05_InstallationFuelConsEmissions][4][FuelConsumption]",Submission!$O:$O,Submission!$H:$N,""))</f>
        <v/>
      </c>
      <c r="G56" s="392"/>
      <c r="H56" s="393" t="str">
        <f>_xlfn.CONCAT(_xlfn.XLOOKUP("[S05_InstallationFuelConsEmissions][4][FuelAnnualEmissions]",Submission!$O:$O,Submission!$H:$N,""))</f>
        <v/>
      </c>
      <c r="I56" s="394"/>
    </row>
    <row r="57" spans="1:9" ht="15.9" customHeight="1" x14ac:dyDescent="0.3">
      <c r="C57" s="238" t="s">
        <v>846</v>
      </c>
      <c r="D57" s="283"/>
      <c r="E57" s="239"/>
      <c r="F57" s="391" t="str">
        <f>_xlfn.CONCAT(_xlfn.XLOOKUP("[S05_InstallationFuelConsEmissions][5][FuelConsumption]",Submission!$O:$O,Submission!$H:$N,""))</f>
        <v>5272.79</v>
      </c>
      <c r="G57" s="392"/>
      <c r="H57" s="393" t="str">
        <f>_xlfn.CONCAT(_xlfn.XLOOKUP("[S05_InstallationFuelConsEmissions][5][FuelAnnualEmissions]",Submission!$O:$O,Submission!$H:$N,""))</f>
        <v>295319.36</v>
      </c>
      <c r="I57" s="394"/>
    </row>
    <row r="58" spans="1:9" ht="15.9" customHeight="1" x14ac:dyDescent="0.3">
      <c r="C58" s="238" t="s">
        <v>847</v>
      </c>
      <c r="D58" s="283"/>
      <c r="E58" s="239"/>
      <c r="F58" s="391" t="str">
        <f>_xlfn.CONCAT(_xlfn.XLOOKUP("[S05_InstallationFuelConsEmissions][6][FuelConsumption]",Submission!$O:$O,Submission!$H:$N,""))</f>
        <v>202.73</v>
      </c>
      <c r="G58" s="392"/>
      <c r="H58" s="393" t="str">
        <f>_xlfn.CONCAT(_xlfn.XLOOKUP("[S05_InstallationFuelConsEmissions][6][FuelAnnualEmissions]",Submission!$O:$O,Submission!$H:$N,""))</f>
        <v>12399.13</v>
      </c>
      <c r="I58" s="394"/>
    </row>
    <row r="59" spans="1:9" ht="15.9" customHeight="1" x14ac:dyDescent="0.3">
      <c r="C59" s="238" t="s">
        <v>848</v>
      </c>
      <c r="D59" s="283"/>
      <c r="E59" s="239"/>
      <c r="F59" s="391" t="str">
        <f>_xlfn.CONCAT(_xlfn.XLOOKUP("[S05_InstallationFuelConsEmissions][7][FuelConsumption]",Submission!$O:$O,Submission!$H:$N,""))</f>
        <v/>
      </c>
      <c r="G59" s="392"/>
      <c r="H59" s="393" t="str">
        <f>_xlfn.CONCAT(_xlfn.XLOOKUP("[S05_InstallationFuelConsEmissions][7][FuelAnnualEmissions]",Submission!$O:$O,Submission!$H:$N,""))</f>
        <v/>
      </c>
      <c r="I59" s="394"/>
    </row>
    <row r="60" spans="1:9" ht="15.9" customHeight="1" x14ac:dyDescent="0.3">
      <c r="C60" s="238" t="s">
        <v>207</v>
      </c>
      <c r="D60" s="283"/>
      <c r="E60" s="239"/>
      <c r="F60" s="391" t="str">
        <f>_xlfn.CONCAT(_xlfn.XLOOKUP("[S05_InstallationFuelConsEmissions][8][FuelConsumption]",Submission!$O:$O,Submission!$H:$N,""))</f>
        <v>12698.11</v>
      </c>
      <c r="G60" s="392"/>
      <c r="H60" s="393" t="str">
        <f>_xlfn.CONCAT(_xlfn.XLOOKUP("[S05_InstallationFuelConsEmissions][8][FuelAnnualEmissions]",Submission!$O:$O,Submission!$H:$N,""))</f>
        <v>1140037.9</v>
      </c>
      <c r="I60" s="394"/>
    </row>
    <row r="61" spans="1:9" ht="15.9" customHeight="1" x14ac:dyDescent="0.3">
      <c r="C61" s="238" t="s">
        <v>849</v>
      </c>
      <c r="D61" s="283"/>
      <c r="E61" s="239"/>
      <c r="F61" s="391" t="str">
        <f>_xlfn.CONCAT(_xlfn.XLOOKUP("[S05_InstallationFuelConsEmissions][9][FuelConsumption]",Submission!$O:$O,Submission!$H:$N,""))</f>
        <v>4.03</v>
      </c>
      <c r="G61" s="392"/>
      <c r="H61" s="393" t="str">
        <f>_xlfn.CONCAT(_xlfn.XLOOKUP("[S05_InstallationFuelConsEmissions][9][FuelAnnualEmissions]",Submission!$O:$O,Submission!$H:$N,""))</f>
        <v>311</v>
      </c>
      <c r="I61" s="394"/>
    </row>
    <row r="62" spans="1:9" ht="15.9" customHeight="1" x14ac:dyDescent="0.3">
      <c r="C62" s="238" t="s">
        <v>211</v>
      </c>
      <c r="D62" s="283"/>
      <c r="E62" s="239"/>
      <c r="F62" s="391" t="str">
        <f>_xlfn.CONCAT(_xlfn.XLOOKUP("[S05_InstallationFuelConsEmissions][10][FuelConsumption]",Submission!$O:$O,Submission!$H:$N,""))</f>
        <v/>
      </c>
      <c r="G62" s="392"/>
      <c r="H62" s="393" t="str">
        <f>_xlfn.CONCAT(_xlfn.XLOOKUP("[S05_InstallationFuelConsEmissions][10][FuelAnnualEmissions]",Submission!$O:$O,Submission!$H:$N,""))</f>
        <v/>
      </c>
      <c r="I62" s="394"/>
    </row>
    <row r="63" spans="1:9" ht="15.9" customHeight="1" x14ac:dyDescent="0.3">
      <c r="C63" s="238" t="s">
        <v>212</v>
      </c>
      <c r="D63" s="283"/>
      <c r="E63" s="239"/>
      <c r="F63" s="391" t="str">
        <f>_xlfn.CONCAT(_xlfn.XLOOKUP("[S05_InstallationFuelConsEmissions][11][FuelConsumption]",Submission!$O:$O,Submission!$H:$N,""))</f>
        <v/>
      </c>
      <c r="G63" s="392"/>
      <c r="H63" s="393" t="str">
        <f>_xlfn.CONCAT(_xlfn.XLOOKUP("[S05_InstallationFuelConsEmissions][11][FuelAnnualEmissions]",Submission!$O:$O,Submission!$H:$N,""))</f>
        <v/>
      </c>
      <c r="I63" s="394"/>
    </row>
    <row r="64" spans="1:9" ht="15.9" customHeight="1" x14ac:dyDescent="0.3">
      <c r="C64" s="238" t="s">
        <v>850</v>
      </c>
      <c r="D64" s="283"/>
      <c r="E64" s="239"/>
      <c r="F64" s="391" t="str">
        <f>_xlfn.CONCAT(_xlfn.XLOOKUP("[S05_InstallationFuelConsEmissions][12][FuelConsumption]",Submission!$O:$O,Submission!$H:$N,""))</f>
        <v>37285</v>
      </c>
      <c r="G64" s="392"/>
      <c r="H64" s="393" t="str">
        <f>_xlfn.CONCAT(_xlfn.XLOOKUP("[S05_InstallationFuelConsEmissions][12][FuelAnnualEmissions]",Submission!$O:$O,Submission!$H:$N,""))</f>
        <v>3784962</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1A1 - Energy - Energy Industries</v>
      </c>
      <c r="D69" s="388"/>
      <c r="E69" s="387" t="str">
        <f>_xlfn.CONCAT(_xlfn.XLOOKUP("[S05_AggregateTotalEmissionsByCRF][1][CRFCategory2]",Submission!$O:$O,Submission!$H:$N,""))</f>
        <v/>
      </c>
      <c r="F69" s="388"/>
      <c r="G69" s="126" t="str">
        <f>_xlfn.CONCAT(_xlfn.XLOOKUP("[S05_AggregateTotalEmissionsByCRF][1][TotalEmissionsTCo2e]",Submission!$O:$O,Submission!$H:$N,""))</f>
        <v>4524796</v>
      </c>
      <c r="H69" s="126" t="str">
        <f>_xlfn.CONCAT(_xlfn.XLOOKUP("[S05_AggregateTotalEmissionsByCRF][1][TotalCombustionEmissionsTCo2e]",Submission!$O:$O,Submission!$H:$N,""))</f>
        <v>4524796</v>
      </c>
      <c r="I69" s="126" t="str">
        <f>_xlfn.CONCAT(_xlfn.XLOOKUP("[S05_AggregateTotalEmissionsByCRF][1][TotalProcessEmissionsTCo2e]",Submission!$O:$O,Submission!$H:$N,""))</f>
        <v/>
      </c>
    </row>
    <row r="70" spans="1:14" ht="16.2" customHeight="1" x14ac:dyDescent="0.3">
      <c r="C70" s="387" t="str">
        <f>_xlfn.CONCAT(_xlfn.XLOOKUP("[S05_AggregateTotalEmissionsByCRF][2][CRFCategory1]",Submission!$O:$O,Submission!$H:$N,""))</f>
        <v>1A1 - Energy - Energy Industries</v>
      </c>
      <c r="D70" s="388"/>
      <c r="E70" s="389" t="str">
        <f>_xlfn.CONCAT(_xlfn.XLOOKUP("[S05_AggregateTotalEmissionsByCRF][2][CRFCategory2]",Submission!$O:$O,Submission!$H:$N,""))</f>
        <v>2A2 - Process - Lime Production</v>
      </c>
      <c r="F70" s="390"/>
      <c r="G70" s="126" t="str">
        <f>_xlfn.CONCAT(_xlfn.XLOOKUP("[S05_AggregateTotalEmissionsByCRF][2][TotalEmissionsTCo2e]",Submission!$O:$O,Submission!$H:$N,""))</f>
        <v>593857</v>
      </c>
      <c r="H70" s="126" t="str">
        <f>_xlfn.CONCAT(_xlfn.XLOOKUP("[S05_AggregateTotalEmissionsByCRF][2][TotalCombustionEmissionsTCo2e]",Submission!$O:$O,Submission!$H:$N,""))</f>
        <v>572361</v>
      </c>
      <c r="I70" s="126" t="str">
        <f>_xlfn.CONCAT(_xlfn.XLOOKUP("[S05_AggregateTotalEmissionsByCRF][2][TotalProcessEmissionsTCo2e]",Submission!$O:$O,Submission!$H:$N,""))</f>
        <v>21496</v>
      </c>
    </row>
    <row r="71" spans="1:14" ht="16.2" customHeight="1" x14ac:dyDescent="0.3">
      <c r="C71" s="387" t="str">
        <f>_xlfn.CONCAT(_xlfn.XLOOKUP("[S05_AggregateTotalEmissionsByCRF][3][CRFCategory1]",Submission!$O:$O,Submission!$H:$N,""))</f>
        <v>1A1b - Energy - Petroleum Refining</v>
      </c>
      <c r="D71" s="388"/>
      <c r="E71" s="389" t="str">
        <f>_xlfn.CONCAT(_xlfn.XLOOKUP("[S05_AggregateTotalEmissionsByCRF][3][CRFCategory2]",Submission!$O:$O,Submission!$H:$N,""))</f>
        <v/>
      </c>
      <c r="F71" s="390"/>
      <c r="G71" s="126" t="str">
        <f>_xlfn.CONCAT(_xlfn.XLOOKUP("[S05_AggregateTotalEmissionsByCRF][3][TotalEmissionsTCo2e]",Submission!$O:$O,Submission!$H:$N,""))</f>
        <v>48775</v>
      </c>
      <c r="H71" s="126" t="str">
        <f>_xlfn.CONCAT(_xlfn.XLOOKUP("[S05_AggregateTotalEmissionsByCRF][3][TotalCombustionEmissionsTCo2e]",Submission!$O:$O,Submission!$H:$N,""))</f>
        <v>48775</v>
      </c>
      <c r="I71" s="126" t="str">
        <f>_xlfn.CONCAT(_xlfn.XLOOKUP("[S05_AggregateTotalEmissionsByCRF][3][TotalProcessEmissionsTCo2e]",Submission!$O:$O,Submission!$H:$N,""))</f>
        <v/>
      </c>
    </row>
    <row r="72" spans="1:14" ht="16.2" customHeight="1" x14ac:dyDescent="0.3">
      <c r="C72" s="387" t="str">
        <f>_xlfn.CONCAT(_xlfn.XLOOKUP("[S05_AggregateTotalEmissionsByCRF][4][CRFCategory1]",Submission!$O:$O,Submission!$H:$N,""))</f>
        <v>1A2d - Energy - Pulp, Paper and Print</v>
      </c>
      <c r="D72" s="388"/>
      <c r="E72" s="389" t="str">
        <f>_xlfn.CONCAT(_xlfn.XLOOKUP("[S05_AggregateTotalEmissionsByCRF][4][CRFCategory2]",Submission!$O:$O,Submission!$H:$N,""))</f>
        <v/>
      </c>
      <c r="F72" s="390"/>
      <c r="G72" s="126" t="str">
        <f>_xlfn.CONCAT(_xlfn.XLOOKUP("[S05_AggregateTotalEmissionsByCRF][4][TotalEmissionsTCo2e]",Submission!$O:$O,Submission!$H:$N,""))</f>
        <v>40722</v>
      </c>
      <c r="H72" s="126" t="str">
        <f>_xlfn.CONCAT(_xlfn.XLOOKUP("[S05_AggregateTotalEmissionsByCRF][4][TotalCombustionEmissionsTCo2e]",Submission!$O:$O,Submission!$H:$N,""))</f>
        <v>40722</v>
      </c>
      <c r="I72" s="126" t="str">
        <f>_xlfn.CONCAT(_xlfn.XLOOKUP("[S05_AggregateTotalEmissionsByCRF][4][TotalProcessEmissionsTCo2e]",Submission!$O:$O,Submission!$H:$N,""))</f>
        <v/>
      </c>
    </row>
    <row r="73" spans="1:14" ht="16.2" customHeight="1" x14ac:dyDescent="0.3">
      <c r="C73" s="387" t="str">
        <f>_xlfn.CONCAT(_xlfn.XLOOKUP("[S05_AggregateTotalEmissionsByCRF][5][CRFCategory1]",Submission!$O:$O,Submission!$H:$N,""))</f>
        <v>1A2f - Energy - Non-metallic minerals</v>
      </c>
      <c r="D73" s="388"/>
      <c r="E73" s="389" t="str">
        <f>_xlfn.CONCAT(_xlfn.XLOOKUP("[S05_AggregateTotalEmissionsByCRF][5][CRFCategory2]",Submission!$O:$O,Submission!$H:$N,""))</f>
        <v/>
      </c>
      <c r="F73" s="390"/>
      <c r="G73" s="126" t="str">
        <f>_xlfn.CONCAT(_xlfn.XLOOKUP("[S05_AggregateTotalEmissionsByCRF][5][TotalEmissionsTCo2e]",Submission!$O:$O,Submission!$H:$N,""))</f>
        <v>5251</v>
      </c>
      <c r="H73" s="126" t="str">
        <f>_xlfn.CONCAT(_xlfn.XLOOKUP("[S05_AggregateTotalEmissionsByCRF][5][TotalCombustionEmissionsTCo2e]",Submission!$O:$O,Submission!$H:$N,""))</f>
        <v>5251</v>
      </c>
      <c r="I73" s="126" t="str">
        <f>_xlfn.CONCAT(_xlfn.XLOOKUP("[S05_AggregateTotalEmissionsByCRF][5][TotalProcessEmissionsTCo2e]",Submission!$O:$O,Submission!$H:$N,""))</f>
        <v/>
      </c>
    </row>
    <row r="74" spans="1:14" ht="16.2" customHeight="1" x14ac:dyDescent="0.3">
      <c r="C74" s="387" t="str">
        <f>_xlfn.CONCAT(_xlfn.XLOOKUP("[S05_AggregateTotalEmissionsByCRF][6][CRFCategory1]",Submission!$O:$O,Submission!$H:$N,""))</f>
        <v>1A2g - Energy - Other Manufacturing Industries and Construction</v>
      </c>
      <c r="D74" s="388"/>
      <c r="E74" s="389" t="str">
        <f>_xlfn.CONCAT(_xlfn.XLOOKUP("[S05_AggregateTotalEmissionsByCRF][6][CRFCategory2]",Submission!$O:$O,Submission!$H:$N,""))</f>
        <v/>
      </c>
      <c r="F74" s="390"/>
      <c r="G74" s="126" t="str">
        <f>_xlfn.CONCAT(_xlfn.XLOOKUP("[S05_AggregateTotalEmissionsByCRF][6][TotalEmissionsTCo2e]",Submission!$O:$O,Submission!$H:$N,""))</f>
        <v>14700</v>
      </c>
      <c r="H74" s="126" t="str">
        <f>_xlfn.CONCAT(_xlfn.XLOOKUP("[S05_AggregateTotalEmissionsByCRF][6][TotalCombustionEmissionsTCo2e]",Submission!$O:$O,Submission!$H:$N,""))</f>
        <v>14700</v>
      </c>
      <c r="I74" s="126" t="str">
        <f>_xlfn.CONCAT(_xlfn.XLOOKUP("[S05_AggregateTotalEmissionsByCRF][6][TotalProcessEmissionsTCo2e]",Submission!$O:$O,Submission!$H:$N,""))</f>
        <v/>
      </c>
    </row>
    <row r="75" spans="1:14" ht="16.2" customHeight="1" x14ac:dyDescent="0.3">
      <c r="C75" s="387" t="str">
        <f>_xlfn.CONCAT(_xlfn.XLOOKUP("[S05_AggregateTotalEmissionsByCRF][7][CRFCategory1]",Submission!$O:$O,Submission!$H:$N,""))</f>
        <v>1A4a - Energy - Commercial/Institutional</v>
      </c>
      <c r="D75" s="388"/>
      <c r="E75" s="389" t="str">
        <f>_xlfn.CONCAT(_xlfn.XLOOKUP("[S05_AggregateTotalEmissionsByCRF][7][CRFCategory2]",Submission!$O:$O,Submission!$H:$N,""))</f>
        <v/>
      </c>
      <c r="F75" s="390"/>
      <c r="G75" s="126" t="str">
        <f>_xlfn.CONCAT(_xlfn.XLOOKUP("[S05_AggregateTotalEmissionsByCRF][7][TotalEmissionsTCo2e]",Submission!$O:$O,Submission!$H:$N,""))</f>
        <v>1314</v>
      </c>
      <c r="H75" s="126" t="str">
        <f>_xlfn.CONCAT(_xlfn.XLOOKUP("[S05_AggregateTotalEmissionsByCRF][7][TotalCombustionEmissionsTCo2e]",Submission!$O:$O,Submission!$H:$N,""))</f>
        <v>1314</v>
      </c>
      <c r="I75" s="126" t="str">
        <f>_xlfn.CONCAT(_xlfn.XLOOKUP("[S05_AggregateTotalEmissionsByCRF][7][TotalProcessEmissionsTCo2e]",Submission!$O:$O,Submission!$H:$N,""))</f>
        <v/>
      </c>
    </row>
    <row r="76" spans="1:14" ht="16.2" customHeight="1" x14ac:dyDescent="0.3">
      <c r="C76" s="387" t="str">
        <f>_xlfn.CONCAT(_xlfn.XLOOKUP("[S05_AggregateTotalEmissionsByCRF][8][CRFCategory1]",Submission!$O:$O,Submission!$H:$N,""))</f>
        <v>1B2b - Energy - Fugitive - Natural Gas</v>
      </c>
      <c r="D76" s="388"/>
      <c r="E76" s="389" t="str">
        <f>_xlfn.CONCAT(_xlfn.XLOOKUP("[S05_AggregateTotalEmissionsByCRF][8][CRFCategory2]",Submission!$O:$O,Submission!$H:$N,""))</f>
        <v>2A2 - Process - Lime Production</v>
      </c>
      <c r="F76" s="390"/>
      <c r="G76" s="126" t="str">
        <f>_xlfn.CONCAT(_xlfn.XLOOKUP("[S05_AggregateTotalEmissionsByCRF][8][TotalEmissionsTCo2e]",Submission!$O:$O,Submission!$H:$N,""))</f>
        <v>33490</v>
      </c>
      <c r="H76" s="126" t="str">
        <f>_xlfn.CONCAT(_xlfn.XLOOKUP("[S05_AggregateTotalEmissionsByCRF][8][TotalCombustionEmissionsTCo2e]",Submission!$O:$O,Submission!$H:$N,""))</f>
        <v>8241</v>
      </c>
      <c r="I76" s="126" t="str">
        <f>_xlfn.CONCAT(_xlfn.XLOOKUP("[S05_AggregateTotalEmissionsByCRF][8][TotalProcessEmissionsTCo2e]",Submission!$O:$O,Submission!$H:$N,""))</f>
        <v>25249</v>
      </c>
    </row>
    <row r="77" spans="1:14" ht="16.2" customHeight="1" x14ac:dyDescent="0.3">
      <c r="C77" s="387" t="str">
        <f>_xlfn.CONCAT(_xlfn.XLOOKUP("[S05_AggregateTotalEmissionsByCRF][9][CRFCategory1]",Submission!$O:$O,Submission!$H:$N,""))</f>
        <v>1B2b - Energy - Fugitive - Natural Gas</v>
      </c>
      <c r="D77" s="388"/>
      <c r="E77" s="389" t="str">
        <f>_xlfn.CONCAT(_xlfn.XLOOKUP("[S05_AggregateTotalEmissionsByCRF][9][CRFCategory2]",Submission!$O:$O,Submission!$H:$N,""))</f>
        <v>2A4 - Process - Other Process Uses of Carbonates</v>
      </c>
      <c r="F77" s="390"/>
      <c r="G77" s="126" t="str">
        <f>_xlfn.CONCAT(_xlfn.XLOOKUP("[S05_AggregateTotalEmissionsByCRF][9][TotalEmissionsTCo2e]",Submission!$O:$O,Submission!$H:$N,""))</f>
        <v>6220</v>
      </c>
      <c r="H77" s="126" t="str">
        <f>_xlfn.CONCAT(_xlfn.XLOOKUP("[S05_AggregateTotalEmissionsByCRF][9][TotalCombustionEmissionsTCo2e]",Submission!$O:$O,Submission!$H:$N,""))</f>
        <v>5190</v>
      </c>
      <c r="I77" s="126" t="str">
        <f>_xlfn.CONCAT(_xlfn.XLOOKUP("[S05_AggregateTotalEmissionsByCRF][9][TotalProcessEmissionsTCo2e]",Submission!$O:$O,Submission!$H:$N,""))</f>
        <v>1030</v>
      </c>
    </row>
    <row r="78" spans="1:14" ht="16.2" customHeight="1" x14ac:dyDescent="0.3">
      <c r="C78" s="387" t="str">
        <f>_xlfn.CONCAT(_xlfn.XLOOKUP("[S05_AggregateTotalEmissionsByCRF][10][CRFCategory1]",Submission!$O:$O,Submission!$H:$N,""))</f>
        <v>1A5a - Energy - Other Stationary</v>
      </c>
      <c r="D78" s="388"/>
      <c r="E78" s="389" t="str">
        <f>_xlfn.CONCAT(_xlfn.XLOOKUP("[S05_AggregateTotalEmissionsByCRF][10][CRFCategory2]",Submission!$O:$O,Submission!$H:$N,""))</f>
        <v>2A3 - Process - Glass production</v>
      </c>
      <c r="F78" s="390"/>
      <c r="G78" s="126" t="str">
        <f>_xlfn.CONCAT(_xlfn.XLOOKUP("[S05_AggregateTotalEmissionsByCRF][10][TotalEmissionsTCo2e]",Submission!$O:$O,Submission!$H:$N,""))</f>
        <v>34441</v>
      </c>
      <c r="H78" s="126" t="str">
        <f>_xlfn.CONCAT(_xlfn.XLOOKUP("[S05_AggregateTotalEmissionsByCRF][10][TotalCombustionEmissionsTCo2e]",Submission!$O:$O,Submission!$H:$N,""))</f>
        <v>23396</v>
      </c>
      <c r="I78" s="126" t="str">
        <f>_xlfn.CONCAT(_xlfn.XLOOKUP("[S05_AggregateTotalEmissionsByCRF][10][TotalProcessEmissionsTCo2e]",Submission!$O:$O,Submission!$H:$N,""))</f>
        <v>11045</v>
      </c>
    </row>
    <row r="79" spans="1:14" ht="16.2" customHeight="1" x14ac:dyDescent="0.3">
      <c r="C79" s="387" t="str">
        <f>_xlfn.CONCAT(_xlfn.XLOOKUP("[S05_AggregateTotalEmissionsByCRF][11][CRFCategory1]",Submission!$O:$O,Submission!$H:$N,""))</f>
        <v/>
      </c>
      <c r="D79" s="388"/>
      <c r="E79" s="389" t="str">
        <f>_xlfn.CONCAT(_xlfn.XLOOKUP("[S05_AggregateTotalEmissionsByCRF][11][CRFCategory2]",Submission!$O:$O,Submission!$H:$N,""))</f>
        <v/>
      </c>
      <c r="F79" s="390"/>
      <c r="G79" s="126" t="str">
        <f>_xlfn.CONCAT(_xlfn.XLOOKUP("[S05_AggregateTotalEmissionsByCRF][11][TotalEmissionsTCo2e]",Submission!$O:$O,Submission!$H:$N,""))</f>
        <v/>
      </c>
      <c r="H79" s="126" t="str">
        <f>_xlfn.CONCAT(_xlfn.XLOOKUP("[S05_AggregateTotalEmissionsByCRF][11][TotalCombustionEmissionsTCo2e]",Submission!$O:$O,Submission!$H:$N,""))</f>
        <v/>
      </c>
      <c r="I79" s="126" t="str">
        <f>_xlfn.CONCAT(_xlfn.XLOOKUP("[S05_AggregateTotalEmissionsByCRF][11][TotalProcessEmissionsTCo2e]",Submission!$O:$O,Submission!$H:$N,""))</f>
        <v/>
      </c>
    </row>
    <row r="80" spans="1:14" ht="16.2" customHeight="1" x14ac:dyDescent="0.3">
      <c r="C80" s="387" t="str">
        <f>_xlfn.CONCAT(_xlfn.XLOOKUP("[S05_AggregateTotalEmissionsByCRF][12][CRFCategory1]",Submission!$O:$O,Submission!$H:$N,""))</f>
        <v/>
      </c>
      <c r="D80" s="388"/>
      <c r="E80" s="389" t="str">
        <f>_xlfn.CONCAT(_xlfn.XLOOKUP("[S05_AggregateTotalEmissionsByCRF][12][CRFCategory2]",Submission!$O:$O,Submission!$H:$N,""))</f>
        <v/>
      </c>
      <c r="F80" s="390"/>
      <c r="G80" s="126" t="str">
        <f>_xlfn.CONCAT(_xlfn.XLOOKUP("[S05_AggregateTotalEmissionsByCRF][12][TotalEmissionsTCo2e]",Submission!$O:$O,Submission!$H:$N,""))</f>
        <v/>
      </c>
      <c r="H80" s="126" t="str">
        <f>_xlfn.CONCAT(_xlfn.XLOOKUP("[S05_AggregateTotalEmissionsByCRF][12][TotalCombustionEmissionsTCo2e]",Submission!$O:$O,Submission!$H:$N,""))</f>
        <v/>
      </c>
      <c r="I80" s="126" t="str">
        <f>_xlfn.CONCAT(_xlfn.XLOOKUP("[S05_AggregateTotalEmissionsByCRF][12][TotalProcessEmissionsTCo2e]",Submission!$O:$O,Submission!$H:$N,""))</f>
        <v/>
      </c>
    </row>
    <row r="81" spans="3:9" ht="16.2" customHeight="1" x14ac:dyDescent="0.3">
      <c r="C81" s="387" t="str">
        <f>_xlfn.CONCAT(_xlfn.XLOOKUP("[S05_AggregateTotalEmissionsByCRF][13][CRFCategory1]",Submission!$O:$O,Submission!$H:$N,""))</f>
        <v/>
      </c>
      <c r="D81" s="388"/>
      <c r="E81" s="389" t="str">
        <f>_xlfn.CONCAT(_xlfn.XLOOKUP("[S05_AggregateTotalEmissionsByCRF][13][CRFCategory2]",Submission!$O:$O,Submission!$H:$N,""))</f>
        <v/>
      </c>
      <c r="F81" s="390"/>
      <c r="G81" s="126" t="str">
        <f>_xlfn.CONCAT(_xlfn.XLOOKUP("[S05_AggregateTotalEmissionsByCRF][13][TotalEmissionsTCo2e]",Submission!$O:$O,Submission!$H:$N,""))</f>
        <v/>
      </c>
      <c r="H81" s="126" t="str">
        <f>_xlfn.CONCAT(_xlfn.XLOOKUP("[S05_AggregateTotalEmissionsByCRF][13][TotalCombustionEmissionsTCo2e]",Submission!$O:$O,Submission!$H:$N,""))</f>
        <v/>
      </c>
      <c r="I81" s="126" t="str">
        <f>_xlfn.CONCAT(_xlfn.XLOOKUP("[S05_AggregateTotalEmissionsByCRF][13][TotalProcessEmissionsTCo2e]",Submission!$O:$O,Submission!$H:$N,""))</f>
        <v/>
      </c>
    </row>
    <row r="82" spans="3:9" ht="16.2" customHeight="1" x14ac:dyDescent="0.3">
      <c r="C82" s="387" t="str">
        <f>_xlfn.CONCAT(_xlfn.XLOOKUP("[S05_AggregateTotalEmissionsByCRF][14][CRFCategory1]",Submission!$O:$O,Submission!$H:$N,""))</f>
        <v/>
      </c>
      <c r="D82" s="388"/>
      <c r="E82" s="389" t="str">
        <f>_xlfn.CONCAT(_xlfn.XLOOKUP("[S05_AggregateTotalEmissionsByCRF][14][CRFCategory2]",Submission!$O:$O,Submission!$H:$N,""))</f>
        <v/>
      </c>
      <c r="F82" s="390"/>
      <c r="G82" s="126" t="str">
        <f>_xlfn.CONCAT(_xlfn.XLOOKUP("[S05_AggregateTotalEmissionsByCRF][14][TotalEmissionsTCo2e]",Submission!$O:$O,Submission!$H:$N,""))</f>
        <v/>
      </c>
      <c r="H82" s="126" t="str">
        <f>_xlfn.CONCAT(_xlfn.XLOOKUP("[S05_AggregateTotalEmissionsByCRF][14][TotalCombustionEmissionsTCo2e]",Submission!$O:$O,Submission!$H:$N,""))</f>
        <v/>
      </c>
      <c r="I82" s="126" t="str">
        <f>_xlfn.CONCAT(_xlfn.XLOOKUP("[S05_AggregateTotalEmissionsByCRF][14][TotalProcessEmissionsTCo2e]",Submission!$O:$O,Submission!$H:$N,""))</f>
        <v/>
      </c>
    </row>
    <row r="83" spans="3:9" ht="16.2" customHeight="1" x14ac:dyDescent="0.3">
      <c r="C83" s="387" t="str">
        <f>_xlfn.CONCAT(_xlfn.XLOOKUP("[S05_AggregateTotalEmissionsByCRF][15][CRFCategory1]",Submission!$O:$O,Submission!$H:$N,""))</f>
        <v/>
      </c>
      <c r="D83" s="388"/>
      <c r="E83" s="389" t="str">
        <f>_xlfn.CONCAT(_xlfn.XLOOKUP("[S05_AggregateTotalEmissionsByCRF][15][CRFCategory2]",Submission!$O:$O,Submission!$H:$N,""))</f>
        <v/>
      </c>
      <c r="F83" s="390"/>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87" t="str">
        <f>_xlfn.CONCAT(_xlfn.XLOOKUP("[S05_AggregateTotalEmissionsByCRF][16][CRFCategory1]",Submission!$O:$O,Submission!$H:$N,""))</f>
        <v/>
      </c>
      <c r="D84" s="388"/>
      <c r="E84" s="389" t="str">
        <f>_xlfn.CONCAT(_xlfn.XLOOKUP("[S05_AggregateTotalEmissionsByCRF][16][CRFCategory2]",Submission!$O:$O,Submission!$H:$N,""))</f>
        <v/>
      </c>
      <c r="F84" s="390"/>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87" t="str">
        <f>_xlfn.CONCAT(_xlfn.XLOOKUP("[S05_AggregateTotalEmissionsByCRF][17][CRFCategory1]",Submission!$O:$O,Submission!$H:$N,""))</f>
        <v/>
      </c>
      <c r="D85" s="388"/>
      <c r="E85" s="389" t="str">
        <f>_xlfn.CONCAT(_xlfn.XLOOKUP("[S05_AggregateTotalEmissionsByCRF][17][CRFCategory2]",Submission!$O:$O,Submission!$H:$N,""))</f>
        <v/>
      </c>
      <c r="F85" s="390"/>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87" t="str">
        <f>_xlfn.CONCAT(_xlfn.XLOOKUP("[S05_AggregateTotalEmissionsByCRF][18][CRFCategory1]",Submission!$O:$O,Submission!$H:$N,""))</f>
        <v/>
      </c>
      <c r="D86" s="388"/>
      <c r="E86" s="389" t="str">
        <f>_xlfn.CONCAT(_xlfn.XLOOKUP("[S05_AggregateTotalEmissionsByCRF][18][CRFCategory2]",Submission!$O:$O,Submission!$H:$N,""))</f>
        <v/>
      </c>
      <c r="F86" s="390"/>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87" t="str">
        <f>_xlfn.CONCAT(_xlfn.XLOOKUP("[S05_AggregateTotalEmissionsByCRF][19][CRFCategory1]",Submission!$O:$O,Submission!$H:$N,""))</f>
        <v/>
      </c>
      <c r="D87" s="388"/>
      <c r="E87" s="389" t="str">
        <f>_xlfn.CONCAT(_xlfn.XLOOKUP("[S05_AggregateTotalEmissionsByCRF][19][CRFCategory2]",Submission!$O:$O,Submission!$H:$N,""))</f>
        <v/>
      </c>
      <c r="F87" s="390"/>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87" t="str">
        <f>_xlfn.CONCAT(_xlfn.XLOOKUP("[S05_AggregateTotalEmissionsByCRF][20][CRFCategory1]",Submission!$O:$O,Submission!$H:$N,""))</f>
        <v/>
      </c>
      <c r="D88" s="388"/>
      <c r="E88" s="389" t="str">
        <f>_xlfn.CONCAT(_xlfn.XLOOKUP("[S05_AggregateTotalEmissionsByCRF][20][CRFCategory2]",Submission!$O:$O,Submission!$H:$N,""))</f>
        <v/>
      </c>
      <c r="F88" s="390"/>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87" t="str">
        <f>_xlfn.CONCAT(_xlfn.XLOOKUP("[S05_AggregateTotalEmissionsByCRF][21][CRFCategory1]",Submission!$O:$O,Submission!$H:$N,""))</f>
        <v/>
      </c>
      <c r="D89" s="388"/>
      <c r="E89" s="389" t="str">
        <f>_xlfn.CONCAT(_xlfn.XLOOKUP("[S05_AggregateTotalEmissionsByCRF][21][CRFCategory2]",Submission!$O:$O,Submission!$H:$N,""))</f>
        <v/>
      </c>
      <c r="F89" s="390"/>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87" t="str">
        <f>_xlfn.CONCAT(_xlfn.XLOOKUP("[S05_AggregateTotalEmissionsByCRF][22][CRFCategory1]",Submission!$O:$O,Submission!$H:$N,""))</f>
        <v/>
      </c>
      <c r="D90" s="388"/>
      <c r="E90" s="389" t="str">
        <f>_xlfn.CONCAT(_xlfn.XLOOKUP("[S05_AggregateTotalEmissionsByCRF][22][CRFCategory2]",Submission!$O:$O,Submission!$H:$N,""))</f>
        <v/>
      </c>
      <c r="F90" s="390"/>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87" t="str">
        <f>_xlfn.CONCAT(_xlfn.XLOOKUP("[S05_AggregateTotalEmissionsByCRF][23][CRFCategory1]",Submission!$O:$O,Submission!$H:$N,""))</f>
        <v/>
      </c>
      <c r="D91" s="388"/>
      <c r="E91" s="389" t="str">
        <f>_xlfn.CONCAT(_xlfn.XLOOKUP("[S05_AggregateTotalEmissionsByCRF][23][CRFCategory2]",Submission!$O:$O,Submission!$H:$N,""))</f>
        <v/>
      </c>
      <c r="F91" s="390"/>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87" t="str">
        <f>_xlfn.CONCAT(_xlfn.XLOOKUP("[S05_AggregateTotalEmissionsByCRF][24][CRFCategory1]",Submission!$O:$O,Submission!$H:$N,""))</f>
        <v/>
      </c>
      <c r="D92" s="388"/>
      <c r="E92" s="389" t="str">
        <f>_xlfn.CONCAT(_xlfn.XLOOKUP("[S05_AggregateTotalEmissionsByCRF][24][CRFCategory2]",Submission!$O:$O,Submission!$H:$N,""))</f>
        <v/>
      </c>
      <c r="F92" s="390"/>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87" t="str">
        <f>_xlfn.CONCAT(_xlfn.XLOOKUP("[S05_AggregateTotalEmissionsByCRF][25][CRFCategory1]",Submission!$O:$O,Submission!$H:$N,""))</f>
        <v/>
      </c>
      <c r="D93" s="388"/>
      <c r="E93" s="389" t="str">
        <f>_xlfn.CONCAT(_xlfn.XLOOKUP("[S05_AggregateTotalEmissionsByCRF][25][CRFCategory2]",Submission!$O:$O,Submission!$H:$N,""))</f>
        <v/>
      </c>
      <c r="F93" s="390"/>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87" t="str">
        <f>_xlfn.CONCAT(_xlfn.XLOOKUP("[S05_AggregateTotalEmissionsByCRF][26][CRFCategory1]",Submission!$O:$O,Submission!$H:$N,""))</f>
        <v/>
      </c>
      <c r="D94" s="388"/>
      <c r="E94" s="389" t="str">
        <f>_xlfn.CONCAT(_xlfn.XLOOKUP("[S05_AggregateTotalEmissionsByCRF][26][CRFCategory2]",Submission!$O:$O,Submission!$H:$N,""))</f>
        <v/>
      </c>
      <c r="F94" s="390"/>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
      </c>
      <c r="D95" s="388"/>
      <c r="E95" s="389" t="str">
        <f>_xlfn.CONCAT(_xlfn.XLOOKUP("[S05_AggregateTotalEmissionsByCRF][27][CRFCategory2]",Submission!$O:$O,Submission!$H:$N,""))</f>
        <v/>
      </c>
      <c r="F95" s="390"/>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
      </c>
      <c r="F96" s="390"/>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87" t="str">
        <f>_xlfn.CONCAT(_xlfn.XLOOKUP("[S05_AggregateTotalEmissionsByCRF][29][CRFCategory1]",Submission!$O:$O,Submission!$H:$N,""))</f>
        <v/>
      </c>
      <c r="D97" s="388"/>
      <c r="E97" s="389" t="str">
        <f>_xlfn.CONCAT(_xlfn.XLOOKUP("[S05_AggregateTotalEmissionsByCRF][29][CRFCategory2]",Submission!$O:$O,Submission!$H:$N,""))</f>
        <v/>
      </c>
      <c r="F97" s="390"/>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Category C installation</v>
      </c>
      <c r="D203" s="350"/>
      <c r="E203" s="350"/>
      <c r="F203" s="350"/>
      <c r="G203" s="347"/>
      <c r="H203" s="123" t="str">
        <f>_xlfn.CONCAT(_xlfn.XLOOKUP("[S05_DefaultValues][1][FuelMaterialType]",Submission!$O:$O,Submission!$H:$N,""))</f>
        <v>shale oil</v>
      </c>
      <c r="I203" s="106" t="str">
        <f>_xlfn.CONCAT(_xlfn.XLOOKUP("[S05_DefaultValues][1][InstallationNumber]",Submission!$O:$O,Submission!$H:$N,""))</f>
        <v>3</v>
      </c>
    </row>
    <row r="204" spans="1:9" ht="15.9" customHeight="1" x14ac:dyDescent="0.3">
      <c r="A204" s="13"/>
      <c r="B204" s="34"/>
      <c r="C204" s="281" t="str">
        <f>_xlfn.CONCAT(_xlfn.XLOOKUP("[S05_DefaultValues][2][InstallationCategory]",Submission!$O:$O,Submission!$H:$N,""))</f>
        <v>Category C installation</v>
      </c>
      <c r="D204" s="350"/>
      <c r="E204" s="350"/>
      <c r="F204" s="350"/>
      <c r="G204" s="347"/>
      <c r="H204" s="123" t="str">
        <f>_xlfn.CONCAT(_xlfn.XLOOKUP("[S05_DefaultValues][2][FuelMaterialType]",Submission!$O:$O,Submission!$H:$N,""))</f>
        <v>biomass</v>
      </c>
      <c r="I204" s="106" t="str">
        <f>_xlfn.CONCAT(_xlfn.XLOOKUP("[S05_DefaultValues][2][InstallationNumber]",Submission!$O:$O,Submission!$H:$N,""))</f>
        <v>3</v>
      </c>
    </row>
    <row r="205" spans="1:9" ht="15.9" customHeight="1" x14ac:dyDescent="0.3">
      <c r="A205" s="13"/>
      <c r="B205" s="34"/>
      <c r="C205" s="281" t="str">
        <f>_xlfn.CONCAT(_xlfn.XLOOKUP("[S05_DefaultValues][3][InstallationCategory]",Submission!$O:$O,Submission!$H:$N,""))</f>
        <v>Category C installation</v>
      </c>
      <c r="D205" s="350"/>
      <c r="E205" s="350"/>
      <c r="F205" s="350"/>
      <c r="G205" s="347"/>
      <c r="H205" s="123" t="str">
        <f>_xlfn.CONCAT(_xlfn.XLOOKUP("[S05_DefaultValues][3][FuelMaterialType]",Submission!$O:$O,Submission!$H:$N,""))</f>
        <v>limestone</v>
      </c>
      <c r="I205" s="106" t="str">
        <f>_xlfn.CONCAT(_xlfn.XLOOKUP("[S05_DefaultValues][3][InstallationNumber]",Submission!$O:$O,Submission!$H:$N,""))</f>
        <v>2</v>
      </c>
    </row>
    <row r="206" spans="1:9" ht="15.9" customHeight="1" x14ac:dyDescent="0.3">
      <c r="A206" s="13"/>
      <c r="B206" s="34"/>
      <c r="C206" s="281" t="str">
        <f>_xlfn.CONCAT(_xlfn.XLOOKUP("[S05_DefaultValues][4][InstallationCategory]",Submission!$O:$O,Submission!$H:$N,""))</f>
        <v>Category C installation</v>
      </c>
      <c r="D206" s="350"/>
      <c r="E206" s="350"/>
      <c r="F206" s="350"/>
      <c r="G206" s="347"/>
      <c r="H206" s="123" t="str">
        <f>_xlfn.CONCAT(_xlfn.XLOOKUP("[S05_DefaultValues][4][FuelMaterialType]",Submission!$O:$O,Submission!$H:$N,""))</f>
        <v>natural gas</v>
      </c>
      <c r="I206" s="106" t="str">
        <f>_xlfn.CONCAT(_xlfn.XLOOKUP("[S05_DefaultValues][4][InstallationNumber]",Submission!$O:$O,Submission!$H:$N,""))</f>
        <v>2</v>
      </c>
    </row>
    <row r="207" spans="1:9" ht="15.9" customHeight="1" x14ac:dyDescent="0.3">
      <c r="A207" s="13"/>
      <c r="B207" s="34"/>
      <c r="C207" s="281" t="str">
        <f>_xlfn.CONCAT(_xlfn.XLOOKUP("[S05_DefaultValues][5][InstallationCategory]",Submission!$O:$O,Submission!$H:$N,""))</f>
        <v>Category B installation</v>
      </c>
      <c r="D207" s="350"/>
      <c r="E207" s="350"/>
      <c r="F207" s="350"/>
      <c r="G207" s="347"/>
      <c r="H207" s="123" t="str">
        <f>_xlfn.CONCAT(_xlfn.XLOOKUP("[S05_DefaultValues][5][FuelMaterialType]",Submission!$O:$O,Submission!$H:$N,""))</f>
        <v>shale oil</v>
      </c>
      <c r="I207" s="106" t="str">
        <f>_xlfn.CONCAT(_xlfn.XLOOKUP("[S05_DefaultValues][5][InstallationNumber]",Submission!$O:$O,Submission!$H:$N,""))</f>
        <v>2</v>
      </c>
    </row>
    <row r="208" spans="1:9" ht="15.9" customHeight="1" x14ac:dyDescent="0.3">
      <c r="A208" s="13"/>
      <c r="B208" s="34"/>
      <c r="C208" s="281" t="str">
        <f>_xlfn.CONCAT(_xlfn.XLOOKUP("[S05_DefaultValues][6][InstallationCategory]",Submission!$O:$O,Submission!$H:$N,""))</f>
        <v>Category B installation</v>
      </c>
      <c r="D208" s="350"/>
      <c r="E208" s="350"/>
      <c r="F208" s="350"/>
      <c r="G208" s="347"/>
      <c r="H208" s="123" t="str">
        <f>_xlfn.CONCAT(_xlfn.XLOOKUP("[S05_DefaultValues][6][FuelMaterialType]",Submission!$O:$O,Submission!$H:$N,""))</f>
        <v>biomass</v>
      </c>
      <c r="I208" s="106" t="str">
        <f>_xlfn.CONCAT(_xlfn.XLOOKUP("[S05_DefaultValues][6][InstallationNumber]",Submission!$O:$O,Submission!$H:$N,""))</f>
        <v>2</v>
      </c>
    </row>
    <row r="209" spans="1:9" ht="15.9" customHeight="1" x14ac:dyDescent="0.3">
      <c r="A209" s="13"/>
      <c r="B209" s="34"/>
      <c r="C209" s="281" t="str">
        <f>_xlfn.CONCAT(_xlfn.XLOOKUP("[S05_DefaultValues][7][InstallationCategory]",Submission!$O:$O,Submission!$H:$N,""))</f>
        <v>Category B installation</v>
      </c>
      <c r="D209" s="350"/>
      <c r="E209" s="350"/>
      <c r="F209" s="350"/>
      <c r="G209" s="347"/>
      <c r="H209" s="123" t="str">
        <f>_xlfn.CONCAT(_xlfn.XLOOKUP("[S05_DefaultValues][7][FuelMaterialType]",Submission!$O:$O,Submission!$H:$N,""))</f>
        <v>natural gas</v>
      </c>
      <c r="I209" s="106" t="str">
        <f>_xlfn.CONCAT(_xlfn.XLOOKUP("[S05_DefaultValues][7][InstallationNumber]",Submission!$O:$O,Submission!$H:$N,""))</f>
        <v>2</v>
      </c>
    </row>
    <row r="210" spans="1:9" ht="15.9" customHeight="1" x14ac:dyDescent="0.3">
      <c r="A210" s="13"/>
      <c r="B210" s="34"/>
      <c r="C210" s="281" t="str">
        <f>_xlfn.CONCAT(_xlfn.XLOOKUP("[S05_DefaultValues][8][InstallationCategory]",Submission!$O:$O,Submission!$H:$N,""))</f>
        <v>Category B installation</v>
      </c>
      <c r="D210" s="350"/>
      <c r="E210" s="350"/>
      <c r="F210" s="350"/>
      <c r="G210" s="347"/>
      <c r="H210" s="123" t="str">
        <f>_xlfn.CONCAT(_xlfn.XLOOKUP("[S05_DefaultValues][8][FuelMaterialType]",Submission!$O:$O,Submission!$H:$N,""))</f>
        <v>diesel oil</v>
      </c>
      <c r="I210" s="106" t="str">
        <f>_xlfn.CONCAT(_xlfn.XLOOKUP("[S05_DefaultValues][8][InstallationNumber]",Submission!$O:$O,Submission!$H:$N,""))</f>
        <v>1</v>
      </c>
    </row>
    <row r="211" spans="1:9" ht="15.9" customHeight="1" x14ac:dyDescent="0.3">
      <c r="A211" s="13"/>
      <c r="B211" s="34"/>
      <c r="C211" s="281" t="str">
        <f>_xlfn.CONCAT(_xlfn.XLOOKUP("[S05_DefaultValues][9][InstallationCategory]",Submission!$O:$O,Submission!$H:$N,""))</f>
        <v>Installation with low emissions</v>
      </c>
      <c r="D211" s="350"/>
      <c r="E211" s="350"/>
      <c r="F211" s="350"/>
      <c r="G211" s="347"/>
      <c r="H211" s="123" t="str">
        <f>_xlfn.CONCAT(_xlfn.XLOOKUP("[S05_DefaultValues][9][FuelMaterialType]",Submission!$O:$O,Submission!$H:$N,""))</f>
        <v>natural gas</v>
      </c>
      <c r="I211" s="106" t="str">
        <f>_xlfn.CONCAT(_xlfn.XLOOKUP("[S05_DefaultValues][9][InstallationNumber]",Submission!$O:$O,Submission!$H:$N,""))</f>
        <v>21</v>
      </c>
    </row>
    <row r="212" spans="1:9" ht="15.9" customHeight="1" x14ac:dyDescent="0.3">
      <c r="A212" s="13"/>
      <c r="B212" s="34"/>
      <c r="C212" s="281" t="str">
        <f>_xlfn.CONCAT(_xlfn.XLOOKUP("[S05_DefaultValues][10][InstallationCategory]",Submission!$O:$O,Submission!$H:$N,""))</f>
        <v>Installation with low emissions</v>
      </c>
      <c r="D212" s="350"/>
      <c r="E212" s="350"/>
      <c r="F212" s="350"/>
      <c r="G212" s="347"/>
      <c r="H212" s="123" t="str">
        <f>_xlfn.CONCAT(_xlfn.XLOOKUP("[S05_DefaultValues][10][FuelMaterialType]",Submission!$O:$O,Submission!$H:$N,""))</f>
        <v>shale oil</v>
      </c>
      <c r="I212" s="106" t="str">
        <f>_xlfn.CONCAT(_xlfn.XLOOKUP("[S05_DefaultValues][10][InstallationNumber]",Submission!$O:$O,Submission!$H:$N,""))</f>
        <v>6</v>
      </c>
    </row>
    <row r="213" spans="1:9" ht="15.9" customHeight="1" x14ac:dyDescent="0.3">
      <c r="A213" s="13"/>
      <c r="B213" s="34"/>
      <c r="C213" s="281" t="str">
        <f>_xlfn.CONCAT(_xlfn.XLOOKUP("[S05_DefaultValues][11][InstallationCategory]",Submission!$O:$O,Submission!$H:$N,""))</f>
        <v>Installation with low emissions</v>
      </c>
      <c r="D213" s="350"/>
      <c r="E213" s="350"/>
      <c r="F213" s="350"/>
      <c r="G213" s="347"/>
      <c r="H213" s="123" t="str">
        <f>_xlfn.CONCAT(_xlfn.XLOOKUP("[S05_DefaultValues][11][FuelMaterialType]",Submission!$O:$O,Submission!$H:$N,""))</f>
        <v>diesel oil</v>
      </c>
      <c r="I213" s="106" t="str">
        <f>_xlfn.CONCAT(_xlfn.XLOOKUP("[S05_DefaultValues][11][InstallationNumber]",Submission!$O:$O,Submission!$H:$N,""))</f>
        <v>5</v>
      </c>
    </row>
    <row r="214" spans="1:9" ht="15.9" customHeight="1" x14ac:dyDescent="0.3">
      <c r="A214" s="13"/>
      <c r="B214" s="34"/>
      <c r="C214" s="281" t="str">
        <f>_xlfn.CONCAT(_xlfn.XLOOKUP("[S05_DefaultValues][12][InstallationCategory]",Submission!$O:$O,Submission!$H:$N,""))</f>
        <v>Installation with low emissions</v>
      </c>
      <c r="D214" s="350"/>
      <c r="E214" s="350"/>
      <c r="F214" s="350"/>
      <c r="G214" s="347"/>
      <c r="H214" s="123" t="str">
        <f>_xlfn.CONCAT(_xlfn.XLOOKUP("[S05_DefaultValues][12][FuelMaterialType]",Submission!$O:$O,Submission!$H:$N,""))</f>
        <v>biomass</v>
      </c>
      <c r="I214" s="106" t="str">
        <f>_xlfn.CONCAT(_xlfn.XLOOKUP("[S05_DefaultValues][12][InstallationNumber]",Submission!$O:$O,Submission!$H:$N,""))</f>
        <v>14</v>
      </c>
    </row>
    <row r="215" spans="1:9" ht="15.9" customHeight="1" x14ac:dyDescent="0.3">
      <c r="A215" s="13"/>
      <c r="B215" s="34"/>
      <c r="C215" s="281" t="str">
        <f>_xlfn.CONCAT(_xlfn.XLOOKUP("[S05_DefaultValues][13][InstallationCategory]",Submission!$O:$O,Submission!$H:$N,""))</f>
        <v>Installation with low emissions</v>
      </c>
      <c r="D215" s="350"/>
      <c r="E215" s="350"/>
      <c r="F215" s="350"/>
      <c r="G215" s="347"/>
      <c r="H215" s="123" t="str">
        <f>_xlfn.CONCAT(_xlfn.XLOOKUP("[S05_DefaultValues][13][FuelMaterialType]",Submission!$O:$O,Submission!$H:$N,""))</f>
        <v>peat</v>
      </c>
      <c r="I215" s="106" t="str">
        <f>_xlfn.CONCAT(_xlfn.XLOOKUP("[S05_DefaultValues][13][InstallationNumber]",Submission!$O:$O,Submission!$H:$N,""))</f>
        <v>6</v>
      </c>
    </row>
    <row r="216" spans="1:9" ht="15.9" customHeight="1" x14ac:dyDescent="0.3">
      <c r="A216" s="13"/>
      <c r="B216" s="34"/>
      <c r="C216" s="281" t="str">
        <f>_xlfn.CONCAT(_xlfn.XLOOKUP("[S05_DefaultValues][14][InstallationCategory]",Submission!$O:$O,Submission!$H:$N,""))</f>
        <v>Installation with low emissions</v>
      </c>
      <c r="D216" s="350"/>
      <c r="E216" s="350"/>
      <c r="F216" s="350"/>
      <c r="G216" s="347"/>
      <c r="H216" s="123" t="str">
        <f>_xlfn.CONCAT(_xlfn.XLOOKUP("[S05_DefaultValues][14][FuelMaterialType]",Submission!$O:$O,Submission!$H:$N,""))</f>
        <v>lime</v>
      </c>
      <c r="I216" s="106" t="str">
        <f>_xlfn.CONCAT(_xlfn.XLOOKUP("[S05_DefaultValues][14][InstallationNumber]",Submission!$O:$O,Submission!$H:$N,""))</f>
        <v>1</v>
      </c>
    </row>
    <row r="217" spans="1:9" ht="15.9" customHeight="1" x14ac:dyDescent="0.3">
      <c r="A217" s="13"/>
      <c r="B217" s="34"/>
      <c r="C217" s="281" t="str">
        <f>_xlfn.CONCAT(_xlfn.XLOOKUP("[S05_DefaultValues][15][InstallationCategory]",Submission!$O:$O,Submission!$H:$N,""))</f>
        <v>Installation with low emissions</v>
      </c>
      <c r="D217" s="350"/>
      <c r="E217" s="350"/>
      <c r="F217" s="350"/>
      <c r="G217" s="347"/>
      <c r="H217" s="123" t="str">
        <f>_xlfn.CONCAT(_xlfn.XLOOKUP("[S05_DefaultValues][15][FuelMaterialType]",Submission!$O:$O,Submission!$H:$N,""))</f>
        <v>light fuel oil</v>
      </c>
      <c r="I217" s="106" t="str">
        <f>_xlfn.CONCAT(_xlfn.XLOOKUP("[S05_DefaultValues][15][InstallationNumber]",Submission!$O:$O,Submission!$H:$N,""))</f>
        <v>1</v>
      </c>
    </row>
    <row r="218" spans="1:9" ht="15.9" customHeight="1" x14ac:dyDescent="0.3">
      <c r="A218" s="13"/>
      <c r="B218" s="34"/>
      <c r="C218" s="281" t="str">
        <f>_xlfn.CONCAT(_xlfn.XLOOKUP("[S05_DefaultValues][16][InstallationCategory]",Submission!$O:$O,Submission!$H:$N,""))</f>
        <v>Installation with low emissions</v>
      </c>
      <c r="D218" s="350"/>
      <c r="E218" s="350"/>
      <c r="F218" s="350"/>
      <c r="G218" s="347"/>
      <c r="H218" s="123" t="str">
        <f>_xlfn.CONCAT(_xlfn.XLOOKUP("[S05_DefaultValues][16][FuelMaterialType]",Submission!$O:$O,Submission!$H:$N,""))</f>
        <v>biogas</v>
      </c>
      <c r="I218" s="106" t="str">
        <f>_xlfn.CONCAT(_xlfn.XLOOKUP("[S05_DefaultValues][16][InstallationNumber]",Submission!$O:$O,Submission!$H:$N,""))</f>
        <v>1</v>
      </c>
    </row>
    <row r="219" spans="1:9" ht="15.9" customHeight="1" x14ac:dyDescent="0.3">
      <c r="A219" s="13"/>
      <c r="B219" s="34"/>
      <c r="C219" s="281" t="str">
        <f>_xlfn.CONCAT(_xlfn.XLOOKUP("[S05_DefaultValues][17][InstallationCategory]",Submission!$O:$O,Submission!$H:$N,""))</f>
        <v>Installation with low emissions</v>
      </c>
      <c r="D219" s="350"/>
      <c r="E219" s="350"/>
      <c r="F219" s="350"/>
      <c r="G219" s="347"/>
      <c r="H219" s="123" t="str">
        <f>_xlfn.CONCAT(_xlfn.XLOOKUP("[S05_DefaultValues][17][FuelMaterialType]",Submission!$O:$O,Submission!$H:$N,""))</f>
        <v>heavy fuel oil</v>
      </c>
      <c r="I219" s="106" t="str">
        <f>_xlfn.CONCAT(_xlfn.XLOOKUP("[S05_DefaultValues][17][InstallationNumber]",Submission!$O:$O,Submission!$H:$N,""))</f>
        <v>1</v>
      </c>
    </row>
    <row r="220" spans="1:9" ht="15.9" customHeight="1" x14ac:dyDescent="0.3">
      <c r="A220" s="13"/>
      <c r="B220" s="34"/>
      <c r="C220" s="281" t="str">
        <f>_xlfn.CONCAT(_xlfn.XLOOKUP("[S05_DefaultValues][18][InstallationCategory]",Submission!$O:$O,Submission!$H:$N,""))</f>
        <v>Installation with low emissions</v>
      </c>
      <c r="D220" s="350"/>
      <c r="E220" s="350"/>
      <c r="F220" s="350"/>
      <c r="G220" s="347"/>
      <c r="H220" s="123" t="str">
        <f>_xlfn.CONCAT(_xlfn.XLOOKUP("[S05_DefaultValues][18][FuelMaterialType]",Submission!$O:$O,Submission!$H:$N,""))</f>
        <v>black liquor</v>
      </c>
      <c r="I220" s="106" t="str">
        <f>_xlfn.CONCAT(_xlfn.XLOOKUP("[S05_DefaultValues][18][InstallationNumber]",Submission!$O:$O,Submission!$H:$N,""))</f>
        <v>1</v>
      </c>
    </row>
    <row r="221" spans="1:9" ht="15.9" customHeight="1" x14ac:dyDescent="0.3">
      <c r="A221" s="13"/>
      <c r="B221" s="34"/>
      <c r="C221" s="281" t="str">
        <f>_xlfn.CONCAT(_xlfn.XLOOKUP("[S05_DefaultValues][19][InstallationCategory]",Submission!$O:$O,Submission!$H:$N,""))</f>
        <v>Installation with low emissions</v>
      </c>
      <c r="D221" s="350"/>
      <c r="E221" s="350"/>
      <c r="F221" s="350"/>
      <c r="G221" s="347"/>
      <c r="H221" s="123" t="str">
        <f>_xlfn.CONCAT(_xlfn.XLOOKUP("[S05_DefaultValues][19][FuelMaterialType]",Submission!$O:$O,Submission!$H:$N,""))</f>
        <v>lime sediment</v>
      </c>
      <c r="I221" s="106" t="str">
        <f>_xlfn.CONCAT(_xlfn.XLOOKUP("[S05_DefaultValues][19][InstallationNumber]",Submission!$O:$O,Submission!$H:$N,""))</f>
        <v>1</v>
      </c>
    </row>
    <row r="222" spans="1:9" ht="15.9" customHeight="1" x14ac:dyDescent="0.3">
      <c r="A222" s="13"/>
      <c r="B222" s="34"/>
      <c r="C222" s="281" t="str">
        <f>_xlfn.CONCAT(_xlfn.XLOOKUP("[S05_DefaultValues][20][InstallationCategory]",Submission!$O:$O,Submission!$H:$N,""))</f>
        <v>Installation with low emissions</v>
      </c>
      <c r="D222" s="350"/>
      <c r="E222" s="350"/>
      <c r="F222" s="350"/>
      <c r="G222" s="347"/>
      <c r="H222" s="123" t="str">
        <f>_xlfn.CONCAT(_xlfn.XLOOKUP("[S05_DefaultValues][20][FuelMaterialType]",Submission!$O:$O,Submission!$H:$N,""))</f>
        <v>barium carbonate</v>
      </c>
      <c r="I222" s="106" t="str">
        <f>_xlfn.CONCAT(_xlfn.XLOOKUP("[S05_DefaultValues][20][InstallationNumber]",Submission!$O:$O,Submission!$H:$N,""))</f>
        <v>1</v>
      </c>
    </row>
    <row r="223" spans="1:9" ht="15.9" customHeight="1" x14ac:dyDescent="0.3">
      <c r="A223" s="13"/>
      <c r="B223" s="34"/>
      <c r="C223" s="281" t="str">
        <f>_xlfn.CONCAT(_xlfn.XLOOKUP("[S05_DefaultValues][21][InstallationCategory]",Submission!$O:$O,Submission!$H:$N,""))</f>
        <v>Installation with low emissions</v>
      </c>
      <c r="D223" s="350"/>
      <c r="E223" s="350"/>
      <c r="F223" s="350"/>
      <c r="G223" s="347"/>
      <c r="H223" s="123" t="str">
        <f>_xlfn.CONCAT(_xlfn.XLOOKUP("[S05_DefaultValues][21][FuelMaterialType]",Submission!$O:$O,Submission!$H:$N,""))</f>
        <v>clay</v>
      </c>
      <c r="I223" s="106" t="str">
        <f>_xlfn.CONCAT(_xlfn.XLOOKUP("[S05_DefaultValues][21][InstallationNumber]",Submission!$O:$O,Submission!$H:$N,""))</f>
        <v>1</v>
      </c>
    </row>
    <row r="224" spans="1:9" ht="15.9" customHeight="1" x14ac:dyDescent="0.3">
      <c r="A224" s="13"/>
      <c r="B224" s="34"/>
      <c r="C224" s="281" t="str">
        <f>_xlfn.CONCAT(_xlfn.XLOOKUP("[S05_DefaultValues][22][InstallationCategory]",Submission!$O:$O,Submission!$H:$N,""))</f>
        <v>Category A installation</v>
      </c>
      <c r="D224" s="350"/>
      <c r="E224" s="350"/>
      <c r="F224" s="350"/>
      <c r="G224" s="347"/>
      <c r="H224" s="123" t="str">
        <f>_xlfn.CONCAT(_xlfn.XLOOKUP("[S05_DefaultValues][22][FuelMaterialType]",Submission!$O:$O,Submission!$H:$N,""))</f>
        <v>natural gas</v>
      </c>
      <c r="I224" s="106" t="str">
        <f>_xlfn.CONCAT(_xlfn.XLOOKUP("[S05_DefaultValues][22][InstallationNumber]",Submission!$O:$O,Submission!$H:$N,""))</f>
        <v>7</v>
      </c>
    </row>
    <row r="225" spans="1:9" ht="15.9" customHeight="1" x14ac:dyDescent="0.3">
      <c r="A225" s="13"/>
      <c r="B225" s="34"/>
      <c r="C225" s="281" t="str">
        <f>_xlfn.CONCAT(_xlfn.XLOOKUP("[S05_DefaultValues][23][InstallationCategory]",Submission!$O:$O,Submission!$H:$N,""))</f>
        <v>Category A installation</v>
      </c>
      <c r="D225" s="350"/>
      <c r="E225" s="350"/>
      <c r="F225" s="350"/>
      <c r="G225" s="347"/>
      <c r="H225" s="123" t="str">
        <f>_xlfn.CONCAT(_xlfn.XLOOKUP("[S05_DefaultValues][23][FuelMaterialType]",Submission!$O:$O,Submission!$H:$N,""))</f>
        <v>diesel oil</v>
      </c>
      <c r="I225" s="106" t="str">
        <f>_xlfn.CONCAT(_xlfn.XLOOKUP("[S05_DefaultValues][23][InstallationNumber]",Submission!$O:$O,Submission!$H:$N,""))</f>
        <v>2</v>
      </c>
    </row>
    <row r="226" spans="1:9" ht="15.9" customHeight="1" x14ac:dyDescent="0.3">
      <c r="A226" s="13"/>
      <c r="B226" s="34"/>
      <c r="C226" s="281" t="str">
        <f>_xlfn.CONCAT(_xlfn.XLOOKUP("[S05_DefaultValues][24][InstallationCategory]",Submission!$O:$O,Submission!$H:$N,""))</f>
        <v>Category A installation</v>
      </c>
      <c r="D226" s="350"/>
      <c r="E226" s="350"/>
      <c r="F226" s="350"/>
      <c r="G226" s="347"/>
      <c r="H226" s="123" t="str">
        <f>_xlfn.CONCAT(_xlfn.XLOOKUP("[S05_DefaultValues][24][FuelMaterialType]",Submission!$O:$O,Submission!$H:$N,""))</f>
        <v>biogas</v>
      </c>
      <c r="I226" s="106" t="str">
        <f>_xlfn.CONCAT(_xlfn.XLOOKUP("[S05_DefaultValues][24][InstallationNumber]",Submission!$O:$O,Submission!$H:$N,""))</f>
        <v>1</v>
      </c>
    </row>
    <row r="227" spans="1:9" ht="15.9" customHeight="1" x14ac:dyDescent="0.3">
      <c r="A227" s="13"/>
      <c r="B227" s="34"/>
      <c r="C227" s="281" t="str">
        <f>_xlfn.CONCAT(_xlfn.XLOOKUP("[S05_DefaultValues][25][InstallationCategory]",Submission!$O:$O,Submission!$H:$N,""))</f>
        <v>Category A installation</v>
      </c>
      <c r="D227" s="350"/>
      <c r="E227" s="350"/>
      <c r="F227" s="350"/>
      <c r="G227" s="347"/>
      <c r="H227" s="123" t="str">
        <f>_xlfn.CONCAT(_xlfn.XLOOKUP("[S05_DefaultValues][25][FuelMaterialType]",Submission!$O:$O,Submission!$H:$N,""))</f>
        <v>biomass</v>
      </c>
      <c r="I227" s="106" t="str">
        <f>_xlfn.CONCAT(_xlfn.XLOOKUP("[S05_DefaultValues][25][InstallationNumber]",Submission!$O:$O,Submission!$H:$N,""))</f>
        <v>2</v>
      </c>
    </row>
    <row r="228" spans="1:9" ht="15.9" customHeight="1" x14ac:dyDescent="0.3">
      <c r="A228" s="13"/>
      <c r="B228" s="34"/>
      <c r="C228" s="281" t="str">
        <f>_xlfn.CONCAT(_xlfn.XLOOKUP("[S05_DefaultValues][26][InstallationCategory]",Submission!$O:$O,Submission!$H:$N,""))</f>
        <v>Category A installation</v>
      </c>
      <c r="D228" s="350"/>
      <c r="E228" s="350"/>
      <c r="F228" s="350"/>
      <c r="G228" s="347"/>
      <c r="H228" s="123" t="str">
        <f>_xlfn.CONCAT(_xlfn.XLOOKUP("[S05_DefaultValues][26][FuelMaterialType]",Submission!$O:$O,Submission!$H:$N,""))</f>
        <v>shale oil</v>
      </c>
      <c r="I228" s="106" t="str">
        <f>_xlfn.CONCAT(_xlfn.XLOOKUP("[S05_DefaultValues][26][InstallationNumber]",Submission!$O:$O,Submission!$H:$N,""))</f>
        <v>1</v>
      </c>
    </row>
    <row r="229" spans="1:9" ht="15.9" customHeight="1" x14ac:dyDescent="0.3">
      <c r="A229" s="13"/>
      <c r="B229" s="34"/>
      <c r="C229" s="281" t="str">
        <f>_xlfn.CONCAT(_xlfn.XLOOKUP("[S05_DefaultValues][27][InstallationCategory]",Submission!$O:$O,Submission!$H:$N,""))</f>
        <v>Category A installation</v>
      </c>
      <c r="D229" s="350"/>
      <c r="E229" s="350"/>
      <c r="F229" s="350"/>
      <c r="G229" s="347"/>
      <c r="H229" s="123" t="str">
        <f>_xlfn.CONCAT(_xlfn.XLOOKUP("[S05_DefaultValues][27][FuelMaterialType]",Submission!$O:$O,Submission!$H:$N,""))</f>
        <v>lime</v>
      </c>
      <c r="I229" s="106" t="str">
        <f>_xlfn.CONCAT(_xlfn.XLOOKUP("[S05_DefaultValues][27][InstallationNumber]",Submission!$O:$O,Submission!$H:$N,""))</f>
        <v>2</v>
      </c>
    </row>
    <row r="230" spans="1:9" ht="15.9" customHeight="1" x14ac:dyDescent="0.3">
      <c r="A230" s="13"/>
      <c r="B230" s="34"/>
      <c r="C230" s="281" t="str">
        <f>_xlfn.CONCAT(_xlfn.XLOOKUP("[S05_DefaultValues][28][InstallationCategory]",Submission!$O:$O,Submission!$H:$N,""))</f>
        <v>Category A installation</v>
      </c>
      <c r="D230" s="350"/>
      <c r="E230" s="350"/>
      <c r="F230" s="350"/>
      <c r="G230" s="347"/>
      <c r="H230" s="123" t="str">
        <f>_xlfn.CONCAT(_xlfn.XLOOKUP("[S05_DefaultValues][28][FuelMaterialType]",Submission!$O:$O,Submission!$H:$N,""))</f>
        <v>heavy fuel oil</v>
      </c>
      <c r="I230" s="106" t="str">
        <f>_xlfn.CONCAT(_xlfn.XLOOKUP("[S05_DefaultValues][28][InstallationNumber]",Submission!$O:$O,Submission!$H:$N,""))</f>
        <v>1</v>
      </c>
    </row>
    <row r="231" spans="1:9" ht="15.9" customHeight="1" x14ac:dyDescent="0.3">
      <c r="A231" s="13"/>
      <c r="B231" s="34"/>
      <c r="C231" s="281" t="str">
        <f>_xlfn.CONCAT(_xlfn.XLOOKUP("[S05_DefaultValues][29][InstallationCategory]",Submission!$O:$O,Submission!$H:$N,""))</f>
        <v>Category A installation</v>
      </c>
      <c r="D231" s="350"/>
      <c r="E231" s="350"/>
      <c r="F231" s="350"/>
      <c r="G231" s="347"/>
      <c r="H231" s="123" t="str">
        <f>_xlfn.CONCAT(_xlfn.XLOOKUP("[S05_DefaultValues][29][FuelMaterialType]",Submission!$O:$O,Submission!$H:$N,""))</f>
        <v>coke</v>
      </c>
      <c r="I231" s="106" t="str">
        <f>_xlfn.CONCAT(_xlfn.XLOOKUP("[S05_DefaultValues][29][InstallationNumber]",Submission!$O:$O,Submission!$H:$N,""))</f>
        <v>1</v>
      </c>
    </row>
    <row r="232" spans="1:9" ht="15.9" customHeight="1" x14ac:dyDescent="0.3">
      <c r="A232" s="13"/>
      <c r="B232" s="34"/>
      <c r="C232" s="281" t="str">
        <f>_xlfn.CONCAT(_xlfn.XLOOKUP("[S05_DefaultValues][30][InstallationCategory]",Submission!$O:$O,Submission!$H:$N,""))</f>
        <v>Category A installation</v>
      </c>
      <c r="D232" s="350"/>
      <c r="E232" s="350"/>
      <c r="F232" s="350"/>
      <c r="G232" s="347"/>
      <c r="H232" s="123" t="str">
        <f>_xlfn.CONCAT(_xlfn.XLOOKUP("[S05_DefaultValues][30][FuelMaterialType]",Submission!$O:$O,Submission!$H:$N,""))</f>
        <v>soda ash</v>
      </c>
      <c r="I232" s="106" t="str">
        <f>_xlfn.CONCAT(_xlfn.XLOOKUP("[S05_DefaultValues][30][InstallationNumber]",Submission!$O:$O,Submission!$H:$N,""))</f>
        <v>1</v>
      </c>
    </row>
    <row r="233" spans="1:9" ht="15.9" customHeight="1" x14ac:dyDescent="0.3">
      <c r="A233" s="13"/>
      <c r="B233" s="34"/>
      <c r="C233" s="281" t="str">
        <f>_xlfn.CONCAT(_xlfn.XLOOKUP("[S05_DefaultValues][31][InstallationCategory]",Submission!$O:$O,Submission!$H:$N,""))</f>
        <v/>
      </c>
      <c r="D233" s="350"/>
      <c r="E233" s="350"/>
      <c r="F233" s="350"/>
      <c r="G233" s="347"/>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81" t="str">
        <f>_xlfn.CONCAT(_xlfn.XLOOKUP("[S05_DefaultValues][32][InstallationCategory]",Submission!$O:$O,Submission!$H:$N,""))</f>
        <v/>
      </c>
      <c r="D234" s="350"/>
      <c r="E234" s="350"/>
      <c r="F234" s="350"/>
      <c r="G234" s="347"/>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81" t="str">
        <f>_xlfn.CONCAT(_xlfn.XLOOKUP("[S05_DefaultValues][33][InstallationCategory]",Submission!$O:$O,Submission!$H:$N,""))</f>
        <v/>
      </c>
      <c r="D235" s="350"/>
      <c r="E235" s="350"/>
      <c r="F235" s="350"/>
      <c r="G235" s="347"/>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81" t="str">
        <f>_xlfn.CONCAT(_xlfn.XLOOKUP("[S05_DefaultValues][34][InstallationCategory]",Submission!$O:$O,Submission!$H:$N,""))</f>
        <v/>
      </c>
      <c r="D236" s="350"/>
      <c r="E236" s="350"/>
      <c r="F236" s="350"/>
      <c r="G236" s="347"/>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81" t="str">
        <f>_xlfn.CONCAT(_xlfn.XLOOKUP("[S05_DefaultValues][35][InstallationCategory]",Submission!$O:$O,Submission!$H:$N,""))</f>
        <v/>
      </c>
      <c r="D237" s="350"/>
      <c r="E237" s="350"/>
      <c r="F237" s="350"/>
      <c r="G237" s="347"/>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81" t="str">
        <f>_xlfn.CONCAT(_xlfn.XLOOKUP("[S05_DefaultValues][36][InstallationCategory]",Submission!$O:$O,Submission!$H:$N,""))</f>
        <v/>
      </c>
      <c r="D238" s="350"/>
      <c r="E238" s="350"/>
      <c r="F238" s="350"/>
      <c r="G238" s="347"/>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81" t="str">
        <f>_xlfn.CONCAT(_xlfn.XLOOKUP("[S05_DefaultValues][37][InstallationCategory]",Submission!$O:$O,Submission!$H:$N,""))</f>
        <v/>
      </c>
      <c r="D239" s="350"/>
      <c r="E239" s="350"/>
      <c r="F239" s="350"/>
      <c r="G239" s="347"/>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81" t="str">
        <f>_xlfn.CONCAT(_xlfn.XLOOKUP("[S05_DefaultValues][38][InstallationCategory]",Submission!$O:$O,Submission!$H:$N,""))</f>
        <v/>
      </c>
      <c r="D240" s="350"/>
      <c r="E240" s="350"/>
      <c r="F240" s="350"/>
      <c r="G240" s="347"/>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81" t="str">
        <f>_xlfn.CONCAT(_xlfn.XLOOKUP("[S05_DefaultValues][39][InstallationCategory]",Submission!$O:$O,Submission!$H:$N,""))</f>
        <v/>
      </c>
      <c r="D241" s="350"/>
      <c r="E241" s="350"/>
      <c r="F241" s="350"/>
      <c r="G241" s="347"/>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81" t="str">
        <f>_xlfn.CONCAT(_xlfn.XLOOKUP("[S05_DefaultValues][40][InstallationCategory]",Submission!$O:$O,Submission!$H:$N,""))</f>
        <v/>
      </c>
      <c r="D242" s="350"/>
      <c r="E242" s="350"/>
      <c r="F242" s="350"/>
      <c r="G242" s="347"/>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81" t="str">
        <f>_xlfn.CONCAT(_xlfn.XLOOKUP("[S05_DefaultValues][41][InstallationCategory]",Submission!$O:$O,Submission!$H:$N,""))</f>
        <v/>
      </c>
      <c r="D243" s="350"/>
      <c r="E243" s="350"/>
      <c r="F243" s="350"/>
      <c r="G243" s="347"/>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81" t="str">
        <f>_xlfn.CONCAT(_xlfn.XLOOKUP("[S05_DefaultValues][42][InstallationCategory]",Submission!$O:$O,Submission!$H:$N,""))</f>
        <v/>
      </c>
      <c r="D244" s="350"/>
      <c r="E244" s="350"/>
      <c r="F244" s="350"/>
      <c r="G244" s="347"/>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81" t="str">
        <f>_xlfn.CONCAT(_xlfn.XLOOKUP("[S05_DefaultValues][43][InstallationCategory]",Submission!$O:$O,Submission!$H:$N,""))</f>
        <v/>
      </c>
      <c r="D245" s="350"/>
      <c r="E245" s="350"/>
      <c r="F245" s="350"/>
      <c r="G245" s="347"/>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81" t="str">
        <f>_xlfn.CONCAT(_xlfn.XLOOKUP("[S05_DefaultValues][44][InstallationCategory]",Submission!$O:$O,Submission!$H:$N,""))</f>
        <v/>
      </c>
      <c r="D246" s="350"/>
      <c r="E246" s="350"/>
      <c r="F246" s="350"/>
      <c r="G246" s="347"/>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81" t="str">
        <f>_xlfn.CONCAT(_xlfn.XLOOKUP("[S05_DefaultValues][45][InstallationCategory]",Submission!$O:$O,Submission!$H:$N,""))</f>
        <v/>
      </c>
      <c r="D247" s="350"/>
      <c r="E247" s="350"/>
      <c r="F247" s="350"/>
      <c r="G247" s="347"/>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81" t="str">
        <f>_xlfn.CONCAT(_xlfn.XLOOKUP("[S05_DefaultValues][46][InstallationCategory]",Submission!$O:$O,Submission!$H:$N,""))</f>
        <v/>
      </c>
      <c r="D248" s="350"/>
      <c r="E248" s="350"/>
      <c r="F248" s="350"/>
      <c r="G248" s="347"/>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81" t="str">
        <f>_xlfn.CONCAT(_xlfn.XLOOKUP("[S05_DefaultValues][47][InstallationCategory]",Submission!$O:$O,Submission!$H:$N,""))</f>
        <v/>
      </c>
      <c r="D249" s="350"/>
      <c r="E249" s="350"/>
      <c r="F249" s="350"/>
      <c r="G249" s="347"/>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81" t="str">
        <f>_xlfn.CONCAT(_xlfn.XLOOKUP("[S05_DefaultValues][48][InstallationCategory]",Submission!$O:$O,Submission!$H:$N,""))</f>
        <v/>
      </c>
      <c r="D250" s="350"/>
      <c r="E250" s="350"/>
      <c r="F250" s="350"/>
      <c r="G250" s="347"/>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81" t="str">
        <f>_xlfn.CONCAT(_xlfn.XLOOKUP("[S05_DefaultValues][49][InstallationCategory]",Submission!$O:$O,Submission!$H:$N,""))</f>
        <v/>
      </c>
      <c r="D251" s="350"/>
      <c r="E251" s="350"/>
      <c r="F251" s="350"/>
      <c r="G251" s="347"/>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81" t="str">
        <f>_xlfn.CONCAT(_xlfn.XLOOKUP("[S05_DefaultValues][50][InstallationCategory]",Submission!$O:$O,Submission!$H:$N,""))</f>
        <v/>
      </c>
      <c r="D252" s="350"/>
      <c r="E252" s="350"/>
      <c r="F252" s="350"/>
      <c r="G252" s="347"/>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81" t="str">
        <f>_xlfn.CONCAT(_xlfn.XLOOKUP("[S05_DefaultValues][51][InstallationCategory]",Submission!$O:$O,Submission!$H:$N,""))</f>
        <v/>
      </c>
      <c r="D253" s="350"/>
      <c r="E253" s="350"/>
      <c r="F253" s="350"/>
      <c r="G253" s="347"/>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81" t="str">
        <f>_xlfn.CONCAT(_xlfn.XLOOKUP("[S05_DefaultValues][52][InstallationCategory]",Submission!$O:$O,Submission!$H:$N,""))</f>
        <v/>
      </c>
      <c r="D254" s="350"/>
      <c r="E254" s="350"/>
      <c r="F254" s="350"/>
      <c r="G254" s="347"/>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81" t="str">
        <f>_xlfn.CONCAT(_xlfn.XLOOKUP("[S05_DefaultValues][53][InstallationCategory]",Submission!$O:$O,Submission!$H:$N,""))</f>
        <v/>
      </c>
      <c r="D255" s="350"/>
      <c r="E255" s="350"/>
      <c r="F255" s="350"/>
      <c r="G255" s="347"/>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Refinery gas</v>
      </c>
      <c r="D1008" s="285"/>
      <c r="E1008" s="105" t="str">
        <f>_xlfn.CONCAT(_xlfn.XLOOKUP("[S05_InstallationDifferentSamplingFrequency][1][CountInstallationsDiffFrequency]",Submission!$O:$O,Submission!$H:$N,""))</f>
        <v>1</v>
      </c>
      <c r="F1008" s="105" t="str">
        <f>_xlfn.CONCAT(_xlfn.XLOOKUP("[S05_InstallationDifferentSamplingFrequency][1][MajorSourceStreams]",Submission!$O:$O,Submission!$H:$N,""))</f>
        <v>1</v>
      </c>
      <c r="G1008" s="47" t="str">
        <f>_xlfn.CONCAT(_xlfn.XLOOKUP("[S05_InstallationDifferentSamplingFrequency][1][SamplingPlanDocumented]",Submission!$O:$O,Submission!$H:$N,""))</f>
        <v>Yes</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Semi-coke gas</v>
      </c>
      <c r="D1009" s="285"/>
      <c r="E1009" s="105" t="str">
        <f>_xlfn.CONCAT(_xlfn.XLOOKUP("[S05_InstallationDifferentSamplingFrequency][2][CountInstallationsDiffFrequency]",Submission!$O:$O,Submission!$H:$N,""))</f>
        <v>1</v>
      </c>
      <c r="F1009" s="105" t="str">
        <f>_xlfn.CONCAT(_xlfn.XLOOKUP("[S05_InstallationDifferentSamplingFrequency][2][MajorSourceStreams]",Submission!$O:$O,Submission!$H:$N,""))</f>
        <v>1</v>
      </c>
      <c r="G1009" s="47" t="str">
        <f>_xlfn.CONCAT(_xlfn.XLOOKUP("[S05_InstallationDifferentSamplingFrequency][2][SamplingPlanDocumented]",Submission!$O:$O,Submission!$H:$N,""))</f>
        <v>Yes</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0" t="str">
        <f>_xlfn.CONCAT(_xlfn.XLOOKUP("[S05_CategoryCHighestTierNotApplied][1][TierInPractice]",Submission!$O:$O,Submission!$H:$N,""))</f>
        <v/>
      </c>
      <c r="I1037" s="242"/>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0" t="str">
        <f>_xlfn.CONCAT(_xlfn.XLOOKUP("[S05_CategoryCHighestTierNotApplied][2][TierInPractice]",Submission!$O:$O,Submission!$H:$N,""))</f>
        <v/>
      </c>
      <c r="I1038" s="242"/>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0" t="str">
        <f>_xlfn.CONCAT(_xlfn.XLOOKUP("[S05_CategoryCHighestTierNotApplied][3][TierInPractice]",Submission!$O:$O,Submission!$H:$N,""))</f>
        <v/>
      </c>
      <c r="I1039" s="242"/>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0" t="str">
        <f>_xlfn.CONCAT(_xlfn.XLOOKUP("[S05_CategoryCHighestTierNotApplied][4][TierInPractice]",Submission!$O:$O,Submission!$H:$N,""))</f>
        <v/>
      </c>
      <c r="I1040" s="242"/>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0" t="str">
        <f>_xlfn.CONCAT(_xlfn.XLOOKUP("[S05_CategoryCHighestTierNotApplied][5][TierInPractice]",Submission!$O:$O,Submission!$H:$N,""))</f>
        <v/>
      </c>
      <c r="I1041" s="242"/>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0" t="str">
        <f>_xlfn.CONCAT(_xlfn.XLOOKUP("[S05_CategoryCHighestTierNotApplied][6][TierInPractice]",Submission!$O:$O,Submission!$H:$N,""))</f>
        <v/>
      </c>
      <c r="I1042" s="242"/>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0" t="str">
        <f>_xlfn.CONCAT(_xlfn.XLOOKUP("[S05_CategoryCHighestTierNotApplied][7][TierInPractice]",Submission!$O:$O,Submission!$H:$N,""))</f>
        <v/>
      </c>
      <c r="I1043" s="242"/>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0" t="str">
        <f>_xlfn.CONCAT(_xlfn.XLOOKUP("[S05_CategoryCHighestTierNotApplied][8][TierInPractice]",Submission!$O:$O,Submission!$H:$N,""))</f>
        <v/>
      </c>
      <c r="I1044" s="242"/>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0" t="str">
        <f>_xlfn.CONCAT(_xlfn.XLOOKUP("[S05_CategoryCHighestTierNotApplied][9][TierInPractice]",Submission!$O:$O,Submission!$H:$N,""))</f>
        <v/>
      </c>
      <c r="I1045" s="242"/>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0" t="str">
        <f>_xlfn.CONCAT(_xlfn.XLOOKUP("[S05_CategoryCHighestTierNotApplied][10][TierInPractice]",Submission!$O:$O,Submission!$H:$N,""))</f>
        <v/>
      </c>
      <c r="I1046" s="242"/>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0" t="str">
        <f>_xlfn.CONCAT(_xlfn.XLOOKUP("[S05_CategoryCHighestTierNotApplied][11][TierInPractice]",Submission!$O:$O,Submission!$H:$N,""))</f>
        <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Calculation based methodology</v>
      </c>
      <c r="D1098" s="285"/>
      <c r="E1098" s="281" t="str">
        <f>_xlfn.CONCAT(_xlfn.XLOOKUP("[S05_CategoryBHighestTierNotApplied][1][CategoryBMainActivity]",Submission!$O:$O,Submission!$H:$N,""))</f>
        <v>21 - Refining of mineral oil</v>
      </c>
      <c r="F1098" s="349"/>
      <c r="G1098" s="282"/>
      <c r="H1098" s="341" t="str">
        <f>_xlfn.CONCAT(_xlfn.XLOOKUP("[S05_CategoryBHighestTierNotApplied][1][CategoryBInstallationsAffected]",Submission!$O:$O,Submission!$H:$N,""))</f>
        <v>1</v>
      </c>
      <c r="I1098" s="342"/>
    </row>
    <row r="1099" spans="1:9" ht="25.95" customHeight="1" x14ac:dyDescent="0.3">
      <c r="B1099" s="34"/>
      <c r="C1099" s="284" t="str">
        <f>_xlfn.CONCAT(_xlfn.XLOOKUP("[S05_CategoryBHighestTierNotApplied][2][MonitoringMethodology]",Submission!$O:$O,Submission!$H:$N,""))</f>
        <v/>
      </c>
      <c r="D1099" s="285"/>
      <c r="E1099" s="281" t="str">
        <f>_xlfn.CONCAT(_xlfn.XLOOKUP("[S05_CategoryBHighestTierNotApplied][2][CategoryBMainActivity]",Submission!$O:$O,Submission!$H:$N,""))</f>
        <v/>
      </c>
      <c r="F1099" s="349"/>
      <c r="G1099" s="282"/>
      <c r="H1099" s="341" t="str">
        <f>_xlfn.CONCAT(_xlfn.XLOOKUP("[S05_CategoryBHighestTierNotApplied][2][CategoryBInstallationsAffected]",Submission!$O:$O,Submission!$H:$N,""))</f>
        <v/>
      </c>
      <c r="I1099" s="342"/>
    </row>
    <row r="1100" spans="1:9" ht="25.95" customHeight="1" x14ac:dyDescent="0.3">
      <c r="B1100" s="34"/>
      <c r="C1100" s="284" t="str">
        <f>_xlfn.CONCAT(_xlfn.XLOOKUP("[S05_CategoryBHighestTierNotApplied][3][MonitoringMethodology]",Submission!$O:$O,Submission!$H:$N,""))</f>
        <v/>
      </c>
      <c r="D1100" s="285"/>
      <c r="E1100" s="281" t="str">
        <f>_xlfn.CONCAT(_xlfn.XLOOKUP("[S05_CategoryBHighestTierNotApplied][3][CategoryBMainActivity]",Submission!$O:$O,Submission!$H:$N,""))</f>
        <v/>
      </c>
      <c r="F1100" s="349"/>
      <c r="G1100" s="282"/>
      <c r="H1100" s="341" t="str">
        <f>_xlfn.CONCAT(_xlfn.XLOOKUP("[S05_CategoryBHighestTierNotApplied][3][CategoryBInstallationsAffected]",Submission!$O:$O,Submission!$H:$N,""))</f>
        <v/>
      </c>
      <c r="I1100" s="342"/>
    </row>
    <row r="1101" spans="1:9" ht="25.95" customHeight="1" x14ac:dyDescent="0.3">
      <c r="B1101" s="34"/>
      <c r="C1101" s="284" t="str">
        <f>_xlfn.CONCAT(_xlfn.XLOOKUP("[S05_CategoryBHighestTierNotApplied][4][MonitoringMethodology]",Submission!$O:$O,Submission!$H:$N,""))</f>
        <v/>
      </c>
      <c r="D1101" s="285"/>
      <c r="E1101" s="281" t="str">
        <f>_xlfn.CONCAT(_xlfn.XLOOKUP("[S05_CategoryBHighestTierNotApplied][4][CategoryBMainActivity]",Submission!$O:$O,Submission!$H:$N,""))</f>
        <v/>
      </c>
      <c r="F1101" s="349"/>
      <c r="G1101" s="282"/>
      <c r="H1101" s="341" t="str">
        <f>_xlfn.CONCAT(_xlfn.XLOOKUP("[S05_CategoryBHighestTierNotApplied][4][CategoryBInstallationsAffected]",Submission!$O:$O,Submission!$H:$N,""))</f>
        <v/>
      </c>
      <c r="I1101" s="342"/>
    </row>
    <row r="1102" spans="1:9" ht="25.95" customHeight="1" x14ac:dyDescent="0.3">
      <c r="B1102" s="34"/>
      <c r="C1102" s="284" t="str">
        <f>_xlfn.CONCAT(_xlfn.XLOOKUP("[S05_CategoryBHighestTierNotApplied][5][MonitoringMethodology]",Submission!$O:$O,Submission!$H:$N,""))</f>
        <v/>
      </c>
      <c r="D1102" s="285"/>
      <c r="E1102" s="281" t="str">
        <f>_xlfn.CONCAT(_xlfn.XLOOKUP("[S05_CategoryBHighestTierNotApplied][5][CategoryBMainActivity]",Submission!$O:$O,Submission!$H:$N,""))</f>
        <v/>
      </c>
      <c r="F1102" s="349"/>
      <c r="G1102" s="282"/>
      <c r="H1102" s="341" t="str">
        <f>_xlfn.CONCAT(_xlfn.XLOOKUP("[S05_CategoryBHighestTierNotApplied][5][CategoryBInstallationsAffected]",Submission!$O:$O,Submission!$H:$N,""))</f>
        <v/>
      </c>
      <c r="I1102" s="342"/>
    </row>
    <row r="1103" spans="1:9" ht="25.95" customHeight="1" x14ac:dyDescent="0.3">
      <c r="B1103" s="34"/>
      <c r="C1103" s="284" t="str">
        <f>_xlfn.CONCAT(_xlfn.XLOOKUP("[S05_CategoryBHighestTierNotApplied][6][MonitoringMethodology]",Submission!$O:$O,Submission!$H:$N,""))</f>
        <v/>
      </c>
      <c r="D1103" s="285"/>
      <c r="E1103" s="281" t="str">
        <f>_xlfn.CONCAT(_xlfn.XLOOKUP("[S05_CategoryBHighestTierNotApplied][6][CategoryBMainActivity]",Submission!$O:$O,Submission!$H:$N,""))</f>
        <v/>
      </c>
      <c r="F1103" s="349"/>
      <c r="G1103" s="282"/>
      <c r="H1103" s="341" t="str">
        <f>_xlfn.CONCAT(_xlfn.XLOOKUP("[S05_CategoryBHighestTierNotApplied][6][CategoryBInstallationsAffected]",Submission!$O:$O,Submission!$H:$N,""))</f>
        <v/>
      </c>
      <c r="I1103" s="342"/>
    </row>
    <row r="1104" spans="1:9" ht="25.95" customHeight="1" x14ac:dyDescent="0.3">
      <c r="B1104" s="34"/>
      <c r="C1104" s="284" t="str">
        <f>_xlfn.CONCAT(_xlfn.XLOOKUP("[S05_CategoryBHighestTierNotApplied][7][MonitoringMethodology]",Submission!$O:$O,Submission!$H:$N,""))</f>
        <v/>
      </c>
      <c r="D1104" s="285"/>
      <c r="E1104" s="281" t="str">
        <f>_xlfn.CONCAT(_xlfn.XLOOKUP("[S05_CategoryBHighestTierNotApplied][7][CategoryBMainActivity]",Submission!$O:$O,Submission!$H:$N,""))</f>
        <v/>
      </c>
      <c r="F1104" s="349"/>
      <c r="G1104" s="282"/>
      <c r="H1104" s="341" t="str">
        <f>_xlfn.CONCAT(_xlfn.XLOOKUP("[S05_CategoryBHighestTierNotApplied][7][CategoryBInstallationsAffected]",Submission!$O:$O,Submission!$H:$N,""))</f>
        <v/>
      </c>
      <c r="I1104" s="342"/>
    </row>
    <row r="1105" spans="1:9" ht="25.95" hidden="1" customHeight="1" outlineLevel="1" x14ac:dyDescent="0.3">
      <c r="B1105" s="34"/>
      <c r="C1105" s="284" t="str">
        <f>_xlfn.CONCAT(_xlfn.XLOOKUP("[S05_CategoryBHighestTierNotApplied][8][MonitoringMethodology]",Submission!$O:$O,Submission!$H:$N,""))</f>
        <v/>
      </c>
      <c r="D1105" s="285"/>
      <c r="E1105" s="281" t="str">
        <f>_xlfn.CONCAT(_xlfn.XLOOKUP("[S05_CategoryBHighestTierNotApplied][8][CategoryBMainActivity]",Submission!$O:$O,Submission!$H:$N,""))</f>
        <v/>
      </c>
      <c r="F1105" s="349"/>
      <c r="G1105" s="282"/>
      <c r="H1105" s="341" t="str">
        <f>_xlfn.CONCAT(_xlfn.XLOOKUP("[S05_CategoryBHighestTierNotApplied][8][CategoryBInstallationsAffected]",Submission!$O:$O,Submission!$H:$N,""))</f>
        <v/>
      </c>
      <c r="I1105" s="342"/>
    </row>
    <row r="1106" spans="1:9" ht="25.95" hidden="1" customHeight="1" outlineLevel="1" x14ac:dyDescent="0.3">
      <c r="B1106" s="34"/>
      <c r="C1106" s="284" t="str">
        <f>_xlfn.CONCAT(_xlfn.XLOOKUP("[S05_CategoryBHighestTierNotApplied][9][MonitoringMethodology]",Submission!$O:$O,Submission!$H:$N,""))</f>
        <v/>
      </c>
      <c r="D1106" s="285"/>
      <c r="E1106" s="281" t="str">
        <f>_xlfn.CONCAT(_xlfn.XLOOKUP("[S05_CategoryBHighestTierNotApplied][9][CategoryBMainActivity]",Submission!$O:$O,Submission!$H:$N,""))</f>
        <v/>
      </c>
      <c r="F1106" s="349"/>
      <c r="G1106" s="282"/>
      <c r="H1106" s="341" t="str">
        <f>_xlfn.CONCAT(_xlfn.XLOOKUP("[S05_CategoryBHighestTierNotApplied][9][CategoryBInstallationsAffected]",Submission!$O:$O,Submission!$H:$N,""))</f>
        <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No</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84" t="str">
        <f>_xlfn.CONCAT(_xlfn.XLOOKUP("[S05_FallBackApproachAppliedDetail][1][FallBackReason]",Submission!$O:$O,Submission!$H:$N,""))</f>
        <v/>
      </c>
      <c r="E1127" s="348"/>
      <c r="F1127" s="348"/>
      <c r="G1127" s="285"/>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84" t="str">
        <f>_xlfn.CONCAT(_xlfn.XLOOKUP("[S05_FallBackApproachAppliedDetail][2][FallBackReason]",Submission!$O:$O,Submission!$H:$N,""))</f>
        <v/>
      </c>
      <c r="E1128" s="348"/>
      <c r="F1128" s="348"/>
      <c r="G1128" s="285"/>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C</v>
      </c>
      <c r="D1144" s="281" t="str">
        <f>_xlfn.CONCAT(_xlfn.XLOOKUP("[S05_ImprovementReportArt69]["&amp;ROW(B1144)-ROW($B$1143)&amp;"][Annex1Activity]",Submission!$O:$O,Submission!$H:$N,""))</f>
        <v>20 - Combustion of fuels as specified in Annex I of Directive 2003/87/EC</v>
      </c>
      <c r="E1144" s="347"/>
      <c r="F1144" s="284" t="str">
        <f>_xlfn.CONCAT(_xlfn.XLOOKUP("[S05_ImprovementReportArt69]["&amp;ROW(B1144)-ROW($B$1143)&amp;"][ImprovementReportType]",Submission!$O:$O,Submission!$H:$N,""))</f>
        <v>Improvement report according to Article 69(4)</v>
      </c>
      <c r="G1144" s="282"/>
      <c r="H1144" s="124" t="str">
        <f>_xlfn.CONCAT(_xlfn.XLOOKUP("[S05_ImprovementReportArt69]["&amp;ROW(B1144)-ROW($B$1143)&amp;"][ImprovementReportRequired]",Submission!$O:$O,Submission!$H:$N,""))</f>
        <v>4</v>
      </c>
      <c r="I1144" s="124" t="str">
        <f>_xlfn.CONCAT(_xlfn.XLOOKUP("[S05_ImprovementReportArt69]["&amp;ROW(B1144)-ROW($B$1143)&amp;"][ImprovementReportSubmitted]",Submission!$O:$O,Submission!$H:$N,""))</f>
        <v>4</v>
      </c>
    </row>
    <row r="1145" spans="1:9" ht="27" customHeight="1" x14ac:dyDescent="0.3">
      <c r="A1145" s="12"/>
      <c r="C1145" s="47" t="str">
        <f>_xlfn.CONCAT(_xlfn.XLOOKUP("[S05_ImprovementReportArt69]["&amp;ROW(B1145)-ROW($B$1143)&amp;"][InstallationCategory]",Submission!$O:$O,Submission!$H:$N,""))</f>
        <v>Category C</v>
      </c>
      <c r="D1145" s="281" t="str">
        <f>_xlfn.CONCAT(_xlfn.XLOOKUP("[S05_ImprovementReportArt69]["&amp;ROW(B1145)-ROW($B$1143)&amp;"][Annex1Activity]",Submission!$O:$O,Submission!$H:$N,""))</f>
        <v>21 - Refining of mineral oil</v>
      </c>
      <c r="E1145" s="347"/>
      <c r="F1145" s="284" t="str">
        <f>_xlfn.CONCAT(_xlfn.XLOOKUP("[S05_ImprovementReportArt69]["&amp;ROW(B1145)-ROW($B$1143)&amp;"][ImprovementReportType]",Submission!$O:$O,Submission!$H:$N,""))</f>
        <v>Improvement report according to Article 69(4)</v>
      </c>
      <c r="G1145" s="282"/>
      <c r="H1145" s="124" t="str">
        <f>_xlfn.CONCAT(_xlfn.XLOOKUP("[S05_ImprovementReportArt69]["&amp;ROW(B1145)-ROW($B$1143)&amp;"][ImprovementReportRequired]",Submission!$O:$O,Submission!$H:$N,""))</f>
        <v>2</v>
      </c>
      <c r="I1145" s="124" t="str">
        <f>_xlfn.CONCAT(_xlfn.XLOOKUP("[S05_ImprovementReportArt69]["&amp;ROW(B1145)-ROW($B$1143)&amp;"][ImprovementReportSubmitted]",Submission!$O:$O,Submission!$H:$N,""))</f>
        <v>2</v>
      </c>
    </row>
    <row r="1146" spans="1:9" ht="27" customHeight="1" x14ac:dyDescent="0.3">
      <c r="A1146" s="12"/>
      <c r="C1146" s="47" t="str">
        <f>_xlfn.CONCAT(_xlfn.XLOOKUP("[S05_ImprovementReportArt69]["&amp;ROW(B1146)-ROW($B$1143)&amp;"][InstallationCategory]",Submission!$O:$O,Submission!$H:$N,""))</f>
        <v>Category B</v>
      </c>
      <c r="D1146" s="281" t="str">
        <f>_xlfn.CONCAT(_xlfn.XLOOKUP("[S05_ImprovementReportArt69]["&amp;ROW(B1146)-ROW($B$1143)&amp;"][Annex1Activity]",Submission!$O:$O,Submission!$H:$N,""))</f>
        <v>20 - Combustion of fuels as specified in Annex I of Directive 2003/87/EC</v>
      </c>
      <c r="E1146" s="347"/>
      <c r="F1146" s="284" t="str">
        <f>_xlfn.CONCAT(_xlfn.XLOOKUP("[S05_ImprovementReportArt69]["&amp;ROW(B1146)-ROW($B$1143)&amp;"][ImprovementReportType]",Submission!$O:$O,Submission!$H:$N,""))</f>
        <v>Improvement report according to Article 69(4)</v>
      </c>
      <c r="G1146" s="282"/>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Category B</v>
      </c>
      <c r="D1147" s="281" t="str">
        <f>_xlfn.CONCAT(_xlfn.XLOOKUP("[S05_ImprovementReportArt69]["&amp;ROW(B1147)-ROW($B$1143)&amp;"][Annex1Activity]",Submission!$O:$O,Submission!$H:$N,""))</f>
        <v>21 - Refining of mineral oil</v>
      </c>
      <c r="E1147" s="347"/>
      <c r="F1147" s="284" t="str">
        <f>_xlfn.CONCAT(_xlfn.XLOOKUP("[S05_ImprovementReportArt69]["&amp;ROW(B1147)-ROW($B$1143)&amp;"][ImprovementReportType]",Submission!$O:$O,Submission!$H:$N,""))</f>
        <v>Improvement report according to Article 69(4)</v>
      </c>
      <c r="G1147" s="282"/>
      <c r="H1147" s="124" t="str">
        <f>_xlfn.CONCAT(_xlfn.XLOOKUP("[S05_ImprovementReportArt69]["&amp;ROW(B1147)-ROW($B$1143)&amp;"][ImprovementReportRequired]",Submission!$O:$O,Submission!$H:$N,""))</f>
        <v>1</v>
      </c>
      <c r="I1147" s="124" t="str">
        <f>_xlfn.CONCAT(_xlfn.XLOOKUP("[S05_ImprovementReportArt69]["&amp;ROW(B1147)-ROW($B$1143)&amp;"][ImprovementReportSubmitted]",Submission!$O:$O,Submission!$H:$N,""))</f>
        <v>1</v>
      </c>
    </row>
    <row r="1148" spans="1:9" ht="27" customHeight="1" x14ac:dyDescent="0.3">
      <c r="A1148" s="12"/>
      <c r="C1148" s="47" t="str">
        <f>_xlfn.CONCAT(_xlfn.XLOOKUP("[S05_ImprovementReportArt69]["&amp;ROW(B1148)-ROW($B$1143)&amp;"][InstallationCategory]",Submission!$O:$O,Submission!$H:$N,""))</f>
        <v>Category A</v>
      </c>
      <c r="D1148" s="281" t="str">
        <f>_xlfn.CONCAT(_xlfn.XLOOKUP("[S05_ImprovementReportArt69]["&amp;ROW(B1148)-ROW($B$1143)&amp;"][Annex1Activity]",Submission!$O:$O,Submission!$H:$N,""))</f>
        <v>21 - Refining of mineral oil</v>
      </c>
      <c r="E1148" s="347"/>
      <c r="F1148" s="284" t="str">
        <f>_xlfn.CONCAT(_xlfn.XLOOKUP("[S05_ImprovementReportArt69]["&amp;ROW(B1148)-ROW($B$1143)&amp;"][ImprovementReportType]",Submission!$O:$O,Submission!$H:$N,""))</f>
        <v>Improvement report according to Article 69(4)</v>
      </c>
      <c r="G1148" s="282"/>
      <c r="H1148" s="124" t="str">
        <f>_xlfn.CONCAT(_xlfn.XLOOKUP("[S05_ImprovementReportArt69]["&amp;ROW(B1148)-ROW($B$1143)&amp;"][ImprovementReportRequired]",Submission!$O:$O,Submission!$H:$N,""))</f>
        <v>1</v>
      </c>
      <c r="I1148" s="124" t="str">
        <f>_xlfn.CONCAT(_xlfn.XLOOKUP("[S05_ImprovementReportArt69]["&amp;ROW(B1148)-ROW($B$1143)&amp;"][ImprovementReportSubmitted]",Submission!$O:$O,Submission!$H:$N,""))</f>
        <v>1</v>
      </c>
    </row>
    <row r="1149" spans="1:9" ht="27" customHeight="1" x14ac:dyDescent="0.3">
      <c r="A1149" s="12"/>
      <c r="C1149" s="47" t="str">
        <f>_xlfn.CONCAT(_xlfn.XLOOKUP("[S05_ImprovementReportArt69]["&amp;ROW(B1149)-ROW($B$1143)&amp;"][InstallationCategory]",Submission!$O:$O,Submission!$H:$N,""))</f>
        <v>Category A</v>
      </c>
      <c r="D1149" s="281" t="str">
        <f>_xlfn.CONCAT(_xlfn.XLOOKUP("[S05_ImprovementReportArt69]["&amp;ROW(B1149)-ROW($B$1143)&amp;"][Annex1Activity]",Submission!$O:$O,Submission!$H:$N,""))</f>
        <v>20 - Combustion of fuels as specified in Annex I of Directive 2003/87/EC</v>
      </c>
      <c r="E1149" s="347"/>
      <c r="F1149" s="284" t="str">
        <f>_xlfn.CONCAT(_xlfn.XLOOKUP("[S05_ImprovementReportArt69]["&amp;ROW(B1149)-ROW($B$1143)&amp;"][ImprovementReportType]",Submission!$O:$O,Submission!$H:$N,""))</f>
        <v>Improvement report in accordance with Article 69(1)</v>
      </c>
      <c r="G1149" s="282"/>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1</v>
      </c>
    </row>
    <row r="1150" spans="1:9" ht="27" customHeight="1" x14ac:dyDescent="0.3">
      <c r="A1150" s="12"/>
      <c r="C1150" s="47" t="str">
        <f>_xlfn.CONCAT(_xlfn.XLOOKUP("[S05_ImprovementReportArt69]["&amp;ROW(B1150)-ROW($B$1143)&amp;"][InstallationCategory]",Submission!$O:$O,Submission!$H:$N,""))</f>
        <v/>
      </c>
      <c r="D1150" s="281" t="str">
        <f>_xlfn.CONCAT(_xlfn.XLOOKUP("[S05_ImprovementReportArt69]["&amp;ROW(B1150)-ROW($B$1143)&amp;"][Annex1Activity]",Submission!$O:$O,Submission!$H:$N,""))</f>
        <v/>
      </c>
      <c r="E1150" s="347"/>
      <c r="F1150" s="284" t="str">
        <f>_xlfn.CONCAT(_xlfn.XLOOKUP("[S05_ImprovementReportArt69]["&amp;ROW(B1150)-ROW($B$1143)&amp;"][ImprovementReportType]",Submission!$O:$O,Submission!$H:$N,""))</f>
        <v/>
      </c>
      <c r="G1150" s="282"/>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81" t="str">
        <f>_xlfn.CONCAT(_xlfn.XLOOKUP("[S05_ImprovementReportArt69]["&amp;ROW(B1151)-ROW($B$1143)&amp;"][Annex1Activity]",Submission!$O:$O,Submission!$H:$N,""))</f>
        <v/>
      </c>
      <c r="E1151" s="347"/>
      <c r="F1151" s="284" t="str">
        <f>_xlfn.CONCAT(_xlfn.XLOOKUP("[S05_ImprovementReportArt69]["&amp;ROW(B1151)-ROW($B$1143)&amp;"][ImprovementReportType]",Submission!$O:$O,Submission!$H:$N,""))</f>
        <v/>
      </c>
      <c r="G1151" s="282"/>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81" t="str">
        <f>_xlfn.CONCAT(_xlfn.XLOOKUP("[S05_ImprovementReportArt69]["&amp;ROW(B1152)-ROW($B$1143)&amp;"][Annex1Activity]",Submission!$O:$O,Submission!$H:$N,""))</f>
        <v/>
      </c>
      <c r="E1152" s="347"/>
      <c r="F1152" s="284" t="str">
        <f>_xlfn.CONCAT(_xlfn.XLOOKUP("[S05_ImprovementReportArt69]["&amp;ROW(B1152)-ROW($B$1143)&amp;"][ImprovementReportType]",Submission!$O:$O,Submission!$H:$N,""))</f>
        <v/>
      </c>
      <c r="G1152" s="282"/>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81" t="str">
        <f>_xlfn.CONCAT(_xlfn.XLOOKUP("[S05_ImprovementReportArt69]["&amp;ROW(B1153)-ROW($B$1143)&amp;"][Annex1Activity]",Submission!$O:$O,Submission!$H:$N,""))</f>
        <v/>
      </c>
      <c r="E1153" s="347"/>
      <c r="F1153" s="284" t="str">
        <f>_xlfn.CONCAT(_xlfn.XLOOKUP("[S05_ImprovementReportArt69]["&amp;ROW(B1153)-ROW($B$1143)&amp;"][ImprovementReportType]",Submission!$O:$O,Submission!$H:$N,""))</f>
        <v/>
      </c>
      <c r="G1153" s="282"/>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81" t="str">
        <f>_xlfn.CONCAT(_xlfn.XLOOKUP("[S05_ImprovementReportArt69]["&amp;ROW(B1154)-ROW($B$1143)&amp;"][Annex1Activity]",Submission!$O:$O,Submission!$H:$N,""))</f>
        <v/>
      </c>
      <c r="E1154" s="347"/>
      <c r="F1154" s="284" t="str">
        <f>_xlfn.CONCAT(_xlfn.XLOOKUP("[S05_ImprovementReportArt69]["&amp;ROW(B1154)-ROW($B$1143)&amp;"][ImprovementReportType]",Submission!$O:$O,Submission!$H:$N,""))</f>
        <v/>
      </c>
      <c r="G1154" s="282"/>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81" t="str">
        <f>_xlfn.CONCAT(_xlfn.XLOOKUP("[S05_ImprovementReportArt69]["&amp;ROW(B1155)-ROW($B$1143)&amp;"][Annex1Activity]",Submission!$O:$O,Submission!$H:$N,""))</f>
        <v/>
      </c>
      <c r="E1155" s="347"/>
      <c r="F1155" s="284" t="str">
        <f>_xlfn.CONCAT(_xlfn.XLOOKUP("[S05_ImprovementReportArt69]["&amp;ROW(B1155)-ROW($B$1143)&amp;"][ImprovementReportType]",Submission!$O:$O,Submission!$H:$N,""))</f>
        <v/>
      </c>
      <c r="G1155" s="282"/>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81" t="str">
        <f>_xlfn.CONCAT(_xlfn.XLOOKUP("[S05_ImprovementReportArt69]["&amp;ROW(B1156)-ROW($B$1143)&amp;"][Annex1Activity]",Submission!$O:$O,Submission!$H:$N,""))</f>
        <v/>
      </c>
      <c r="E1156" s="347"/>
      <c r="F1156" s="284" t="str">
        <f>_xlfn.CONCAT(_xlfn.XLOOKUP("[S05_ImprovementReportArt69]["&amp;ROW(B1156)-ROW($B$1143)&amp;"][ImprovementReportType]",Submission!$O:$O,Submission!$H:$N,""))</f>
        <v/>
      </c>
      <c r="G1156" s="282"/>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81" t="str">
        <f>_xlfn.CONCAT(_xlfn.XLOOKUP("[S05_ImprovementReportArt69]["&amp;ROW(B1157)-ROW($B$1143)&amp;"][Annex1Activity]",Submission!$O:$O,Submission!$H:$N,""))</f>
        <v/>
      </c>
      <c r="E1157" s="347"/>
      <c r="F1157" s="284" t="str">
        <f>_xlfn.CONCAT(_xlfn.XLOOKUP("[S05_ImprovementReportArt69]["&amp;ROW(B1157)-ROW($B$1143)&amp;"][ImprovementReportType]",Submission!$O:$O,Submission!$H:$N,""))</f>
        <v/>
      </c>
      <c r="G1157" s="282"/>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81" t="str">
        <f>_xlfn.CONCAT(_xlfn.XLOOKUP("[S05_ImprovementReportArt69]["&amp;ROW(B1158)-ROW($B$1143)&amp;"][Annex1Activity]",Submission!$O:$O,Submission!$H:$N,""))</f>
        <v/>
      </c>
      <c r="E1158" s="347"/>
      <c r="F1158" s="284" t="str">
        <f>_xlfn.CONCAT(_xlfn.XLOOKUP("[S05_ImprovementReportArt69]["&amp;ROW(B1158)-ROW($B$1143)&amp;"][ImprovementReportType]",Submission!$O:$O,Submission!$H:$N,""))</f>
        <v/>
      </c>
      <c r="G1158" s="282"/>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81" t="str">
        <f>_xlfn.CONCAT(_xlfn.XLOOKUP("[S05_ImprovementReportArt69]["&amp;ROW(B1159)-ROW($B$1143)&amp;"][Annex1Activity]",Submission!$O:$O,Submission!$H:$N,""))</f>
        <v/>
      </c>
      <c r="E1159" s="347"/>
      <c r="F1159" s="284" t="str">
        <f>_xlfn.CONCAT(_xlfn.XLOOKUP("[S05_ImprovementReportArt69]["&amp;ROW(B1159)-ROW($B$1143)&amp;"][ImprovementReportType]",Submission!$O:$O,Submission!$H:$N,""))</f>
        <v/>
      </c>
      <c r="G1159" s="282"/>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81" t="str">
        <f>_xlfn.CONCAT(_xlfn.XLOOKUP("[S05_ImprovementReportArt69]["&amp;ROW(B1160)-ROW($B$1143)&amp;"][Annex1Activity]",Submission!$O:$O,Submission!$H:$N,""))</f>
        <v/>
      </c>
      <c r="E1160" s="347"/>
      <c r="F1160" s="284" t="str">
        <f>_xlfn.CONCAT(_xlfn.XLOOKUP("[S05_ImprovementReportArt69]["&amp;ROW(B1160)-ROW($B$1143)&amp;"][ImprovementReportType]",Submission!$O:$O,Submission!$H:$N,""))</f>
        <v/>
      </c>
      <c r="G1160" s="282"/>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81" t="str">
        <f>_xlfn.CONCAT(_xlfn.XLOOKUP("[S05_ImprovementReportArt69]["&amp;ROW(B1161)-ROW($B$1143)&amp;"][Annex1Activity]",Submission!$O:$O,Submission!$H:$N,""))</f>
        <v/>
      </c>
      <c r="E1161" s="347"/>
      <c r="F1161" s="284" t="str">
        <f>_xlfn.CONCAT(_xlfn.XLOOKUP("[S05_ImprovementReportArt69]["&amp;ROW(B1161)-ROW($B$1143)&amp;"][ImprovementReportType]",Submission!$O:$O,Submission!$H:$N,""))</f>
        <v/>
      </c>
      <c r="G1161" s="282"/>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81" t="str">
        <f>_xlfn.CONCAT(_xlfn.XLOOKUP("[S05_ImprovementReportArt69]["&amp;ROW(B1162)-ROW($B$1143)&amp;"][Annex1Activity]",Submission!$O:$O,Submission!$H:$N,""))</f>
        <v/>
      </c>
      <c r="E1162" s="347"/>
      <c r="F1162" s="284" t="str">
        <f>_xlfn.CONCAT(_xlfn.XLOOKUP("[S05_ImprovementReportArt69]["&amp;ROW(B1162)-ROW($B$1143)&amp;"][ImprovementReportType]",Submission!$O:$O,Submission!$H:$N,""))</f>
        <v/>
      </c>
      <c r="G1162" s="282"/>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81" t="str">
        <f>_xlfn.CONCAT(_xlfn.XLOOKUP("[S05_ImprovementReportArt69]["&amp;ROW(B1163)-ROW($B$1143)&amp;"][Annex1Activity]",Submission!$O:$O,Submission!$H:$N,""))</f>
        <v/>
      </c>
      <c r="E1163" s="347"/>
      <c r="F1163" s="284" t="str">
        <f>_xlfn.CONCAT(_xlfn.XLOOKUP("[S05_ImprovementReportArt69]["&amp;ROW(B1163)-ROW($B$1143)&amp;"][ImprovementReportType]",Submission!$O:$O,Submission!$H:$N,""))</f>
        <v/>
      </c>
      <c r="G1163" s="282"/>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1" t="str">
        <f>_xlfn.CONCAT(_xlfn.XLOOKUP("[S05_ImprovementReportArt69]["&amp;ROW(B1164)-ROW($B$1143)&amp;"][Annex1Activity]",Submission!$O:$O,Submission!$H:$N,""))</f>
        <v/>
      </c>
      <c r="E1164" s="347"/>
      <c r="F1164" s="284" t="str">
        <f>_xlfn.CONCAT(_xlfn.XLOOKUP("[S05_ImprovementReportArt69]["&amp;ROW(B1164)-ROW($B$1143)&amp;"][ImprovementReportType]",Submission!$O:$O,Submission!$H:$N,""))</f>
        <v/>
      </c>
      <c r="G1164" s="282"/>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1" t="str">
        <f>_xlfn.CONCAT(_xlfn.XLOOKUP("[S05_ImprovementReportArt69]["&amp;ROW(B1165)-ROW($B$1143)&amp;"][Annex1Activity]",Submission!$O:$O,Submission!$H:$N,""))</f>
        <v/>
      </c>
      <c r="E1165" s="347"/>
      <c r="F1165" s="284" t="str">
        <f>_xlfn.CONCAT(_xlfn.XLOOKUP("[S05_ImprovementReportArt69]["&amp;ROW(B1165)-ROW($B$1143)&amp;"][ImprovementReportType]",Submission!$O:$O,Submission!$H:$N,""))</f>
        <v/>
      </c>
      <c r="G1165" s="282"/>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1" t="str">
        <f>_xlfn.CONCAT(_xlfn.XLOOKUP("[S05_ImprovementReportArt69]["&amp;ROW(B1166)-ROW($B$1143)&amp;"][Annex1Activity]",Submission!$O:$O,Submission!$H:$N,""))</f>
        <v/>
      </c>
      <c r="E1166" s="347"/>
      <c r="F1166" s="284" t="str">
        <f>_xlfn.CONCAT(_xlfn.XLOOKUP("[S05_ImprovementReportArt69]["&amp;ROW(B1166)-ROW($B$1143)&amp;"][ImprovementReportType]",Submission!$O:$O,Submission!$H:$N,""))</f>
        <v/>
      </c>
      <c r="G1166" s="282"/>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1" t="str">
        <f>_xlfn.CONCAT(_xlfn.XLOOKUP("[S05_ImprovementReportArt69]["&amp;ROW(B1167)-ROW($B$1143)&amp;"][Annex1Activity]",Submission!$O:$O,Submission!$H:$N,""))</f>
        <v/>
      </c>
      <c r="E1167" s="347"/>
      <c r="F1167" s="284" t="str">
        <f>_xlfn.CONCAT(_xlfn.XLOOKUP("[S05_ImprovementReportArt69]["&amp;ROW(B1167)-ROW($B$1143)&amp;"][ImprovementReportType]",Submission!$O:$O,Submission!$H:$N,""))</f>
        <v/>
      </c>
      <c r="G1167" s="282"/>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1" t="str">
        <f>_xlfn.CONCAT(_xlfn.XLOOKUP("[S05_ImprovementReportArt69]["&amp;ROW(B1168)-ROW($B$1143)&amp;"][Annex1Activity]",Submission!$O:$O,Submission!$H:$N,""))</f>
        <v/>
      </c>
      <c r="E1168" s="347"/>
      <c r="F1168" s="284" t="str">
        <f>_xlfn.CONCAT(_xlfn.XLOOKUP("[S05_ImprovementReportArt69]["&amp;ROW(B1168)-ROW($B$1143)&amp;"][ImprovementReportType]",Submission!$O:$O,Submission!$H:$N,""))</f>
        <v/>
      </c>
      <c r="G1168" s="282"/>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No</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Yes</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57</v>
      </c>
      <c r="D1327" s="285"/>
      <c r="E1327" s="284" t="str">
        <f>_xlfn.CONCAT(_xlfn.XLOOKUP("[S05_ContinuousEmissionsMeasurementDetail][1][InstallationIDN2O]",Submission!$O:$O,Submission!$H:$N,""))</f>
        <v/>
      </c>
      <c r="F1327" s="285"/>
      <c r="G1327" s="127" t="str">
        <f>_xlfn.CONCAT(_xlfn.XLOOKUP("[S05_ContinuousEmissionsMeasurementDetail][1][TotalEmissionsCO2E]",Submission!$O:$O,Submission!$H:$N,""))</f>
        <v>697209</v>
      </c>
      <c r="H1327" s="127" t="str">
        <f>_xlfn.CONCAT(_xlfn.XLOOKUP("[S05_ContinuousEmissionsMeasurementDetail][1][ContinuousMeasurementTotalEmissions]",Submission!$O:$O,Submission!$H:$N,""))</f>
        <v>693854</v>
      </c>
      <c r="I1327" s="72" t="str">
        <f>_xlfn.CONCAT(_xlfn.XLOOKUP("[S05_ContinuousEmissionsMeasurementDetail][1][FlueGasContainBiomass]",Submission!$O:$O,Submission!$H:$N,""))</f>
        <v>No</v>
      </c>
    </row>
    <row r="1328" spans="1:12" ht="15.9" customHeight="1" x14ac:dyDescent="0.3">
      <c r="A1328" s="13"/>
      <c r="B1328" s="23"/>
      <c r="C1328" s="284" t="str">
        <f>_xlfn.CONCAT(_xlfn.XLOOKUP("[S05_ContinuousEmissionsMeasurementDetail][2][InstallationIDCO2]",Submission!$O:$O,Submission!$H:$N,""))</f>
        <v/>
      </c>
      <c r="D1328" s="285"/>
      <c r="E1328" s="284" t="str">
        <f>_xlfn.CONCAT(_xlfn.XLOOKUP("[S05_ContinuousEmissionsMeasurementDetail][2][InstallationIDN2O]",Submission!$O:$O,Submission!$H:$N,""))</f>
        <v/>
      </c>
      <c r="F1328" s="285"/>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84" t="str">
        <f>_xlfn.CONCAT(_xlfn.XLOOKUP("[S05_ContinuousEmissionsMeasurementDetail][3][InstallationIDCO2]",Submission!$O:$O,Submission!$H:$N,""))</f>
        <v/>
      </c>
      <c r="D1329" s="285"/>
      <c r="E1329" s="284" t="str">
        <f>_xlfn.CONCAT(_xlfn.XLOOKUP("[S05_ContinuousEmissionsMeasurementDetail][3][InstallationIDN2O]",Submission!$O:$O,Submission!$H:$N,""))</f>
        <v/>
      </c>
      <c r="F1329" s="285"/>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14</v>
      </c>
      <c r="F1389" s="126" t="str">
        <f>_xlfn.CONCAT(_xlfn.XLOOKUP("[S05_BiomassInstallations][1][EmissionsBiomassSustainabilitySatisfied]",Submission!$O:$O,Submission!$H:$N,""))</f>
        <v>1430894</v>
      </c>
      <c r="G1389" s="126" t="str">
        <f>_xlfn.CONCAT(_xlfn.XLOOKUP("[S05_BiomassInstallations][1][EmissionsBiomassSustainabilityNotSatisfied]",Submission!$O:$O,Submission!$H:$N,""))</f>
        <v>0</v>
      </c>
      <c r="H1389" s="126" t="str">
        <f>_xlfn.CONCAT(_xlfn.XLOOKUP("[S05_BiomassInstallations][1][EmissionsFossil]",Submission!$O:$O,Submission!$H:$N,""))</f>
        <v>104659</v>
      </c>
      <c r="I1389" s="126" t="str">
        <f>_xlfn.CONCAT(_xlfn.XLOOKUP("[S05_BiomassInstallations][1][EnergyZeroRatedBiomass]",Submission!$O:$O,Submission!$H:$N,""))</f>
        <v>13061</v>
      </c>
      <c r="J1389" s="126" t="str">
        <f>_xlfn.CONCAT(_xlfn.XLOOKUP("[S05_BiomassInstallations][1][EnergyNonZeroRatedBiomass]",Submission!$O:$O,Submission!$H:$N,""))</f>
        <v>0</v>
      </c>
      <c r="K1389" s="126" t="str">
        <f>_xlfn.CONCAT(_xlfn.XLOOKUP("[S05_BiomassInstallations][1][EnergyFossil]",Submission!$O:$O,Submission!$H:$N,""))</f>
        <v>1429</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1</v>
      </c>
      <c r="F1390" s="126" t="str">
        <f>_xlfn.CONCAT(_xlfn.XLOOKUP("[S05_BiomassInstallations][2][EmissionsBiomassSustainabilitySatisfied]",Submission!$O:$O,Submission!$H:$N,""))</f>
        <v>67</v>
      </c>
      <c r="G1390" s="126" t="str">
        <f>_xlfn.CONCAT(_xlfn.XLOOKUP("[S05_BiomassInstallations][2][EmissionsBiomassSustainabilityNotSatisfied]",Submission!$O:$O,Submission!$H:$N,""))</f>
        <v>0</v>
      </c>
      <c r="H1390" s="126" t="str">
        <f>_xlfn.CONCAT(_xlfn.XLOOKUP("[S05_BiomassInstallations][2][EmissionsFossil]",Submission!$O:$O,Submission!$H:$N,""))</f>
        <v>159357</v>
      </c>
      <c r="I1390" s="126" t="str">
        <f>_xlfn.CONCAT(_xlfn.XLOOKUP("[S05_BiomassInstallations][2][EnergyZeroRatedBiomass]",Submission!$O:$O,Submission!$H:$N,""))</f>
        <v>0.6</v>
      </c>
      <c r="J1390" s="126" t="str">
        <f>_xlfn.CONCAT(_xlfn.XLOOKUP("[S05_BiomassInstallations][2][EnergyNonZeroRatedBiomass]",Submission!$O:$O,Submission!$H:$N,""))</f>
        <v>0</v>
      </c>
      <c r="K1390" s="126" t="str">
        <f>_xlfn.CONCAT(_xlfn.XLOOKUP("[S05_BiomassInstallations][2][EnergyFossil]",Submission!$O:$O,Submission!$H:$N,""))</f>
        <v>1211</v>
      </c>
    </row>
    <row r="1391" spans="1:11" ht="44.4" customHeight="1" x14ac:dyDescent="0.3">
      <c r="A1391" s="12"/>
      <c r="C1391" s="125" t="str">
        <f>_xlfn.CONCAT(_xlfn.XLOOKUP("[S05_BiomassInstallations][3][Annex1Activity]",Submission!$O:$O,Submission!$H:$N,""))</f>
        <v>20 - Combustion of fuels as specified in Annex I of Directive 2003/87/EC</v>
      </c>
      <c r="D1391" s="128" t="str">
        <f>_xlfn.CONCAT(_xlfn.XLOOKUP("[S05_BiomassInstallations][3][BiomassInstallationCategory]",Submission!$O:$O,Submission!$H:$N,""))</f>
        <v>Category C</v>
      </c>
      <c r="E1391" s="126" t="str">
        <f>_xlfn.CONCAT(_xlfn.XLOOKUP("[S05_BiomassInstallations][3][NumberUsingBiomass]",Submission!$O:$O,Submission!$H:$N,""))</f>
        <v>3</v>
      </c>
      <c r="F1391" s="126" t="str">
        <f>_xlfn.CONCAT(_xlfn.XLOOKUP("[S05_BiomassInstallations][3][EmissionsBiomassSustainabilitySatisfied]",Submission!$O:$O,Submission!$H:$N,""))</f>
        <v>666757</v>
      </c>
      <c r="G1391" s="126" t="str">
        <f>_xlfn.CONCAT(_xlfn.XLOOKUP("[S05_BiomassInstallations][3][EmissionsBiomassSustainabilityNotSatisfied]",Submission!$O:$O,Submission!$H:$N,""))</f>
        <v>0</v>
      </c>
      <c r="H1391" s="126" t="str">
        <f>_xlfn.CONCAT(_xlfn.XLOOKUP("[S05_BiomassInstallations][3][EmissionsFossil]",Submission!$O:$O,Submission!$H:$N,""))</f>
        <v>4139471</v>
      </c>
      <c r="I1391" s="126" t="str">
        <f>_xlfn.CONCAT(_xlfn.XLOOKUP("[S05_BiomassInstallations][3][EnergyZeroRatedBiomass]",Submission!$O:$O,Submission!$H:$N,""))</f>
        <v>6086</v>
      </c>
      <c r="J1391" s="126" t="str">
        <f>_xlfn.CONCAT(_xlfn.XLOOKUP("[S05_BiomassInstallations][3][EnergyNonZeroRatedBiomass]",Submission!$O:$O,Submission!$H:$N,""))</f>
        <v>0</v>
      </c>
      <c r="K1391" s="126" t="str">
        <f>_xlfn.CONCAT(_xlfn.XLOOKUP("[S05_BiomassInstallations][3][EnergyFossil]",Submission!$O:$O,Submission!$H:$N,""))</f>
        <v>42569</v>
      </c>
    </row>
    <row r="1392" spans="1:11" ht="44.4" customHeight="1" x14ac:dyDescent="0.3">
      <c r="A1392" s="12"/>
      <c r="C1392" s="125" t="str">
        <f>_xlfn.CONCAT(_xlfn.XLOOKUP("[S05_BiomassInstallations][4][Annex1Activity]",Submission!$O:$O,Submission!$H:$N,""))</f>
        <v>35 - Production of pulp as specified in Annex I of Directive 2003/87/EC</v>
      </c>
      <c r="D1392" s="128" t="str">
        <f>_xlfn.CONCAT(_xlfn.XLOOKUP("[S05_BiomassInstallations][4][BiomassInstallationCategory]",Submission!$O:$O,Submission!$H:$N,""))</f>
        <v>Category A</v>
      </c>
      <c r="E1392" s="126" t="str">
        <f>_xlfn.CONCAT(_xlfn.XLOOKUP("[S05_BiomassInstallations][4][NumberUsingBiomass]",Submission!$O:$O,Submission!$H:$N,""))</f>
        <v>1</v>
      </c>
      <c r="F1392" s="126" t="str">
        <f>_xlfn.CONCAT(_xlfn.XLOOKUP("[S05_BiomassInstallations][4][EmissionsBiomassSustainabilitySatisfied]",Submission!$O:$O,Submission!$H:$N,""))</f>
        <v>196</v>
      </c>
      <c r="G1392" s="126" t="str">
        <f>_xlfn.CONCAT(_xlfn.XLOOKUP("[S05_BiomassInstallations][4][EmissionsBiomassSustainabilityNotSatisfied]",Submission!$O:$O,Submission!$H:$N,""))</f>
        <v>0</v>
      </c>
      <c r="H1392" s="126" t="str">
        <f>_xlfn.CONCAT(_xlfn.XLOOKUP("[S05_BiomassInstallations][4][EmissionsFossil]",Submission!$O:$O,Submission!$H:$N,""))</f>
        <v>27834</v>
      </c>
      <c r="I1392" s="126" t="str">
        <f>_xlfn.CONCAT(_xlfn.XLOOKUP("[S05_BiomassInstallations][4][EnergyZeroRatedBiomass]",Submission!$O:$O,Submission!$H:$N,""))</f>
        <v>3.59</v>
      </c>
      <c r="J1392" s="126" t="str">
        <f>_xlfn.CONCAT(_xlfn.XLOOKUP("[S05_BiomassInstallations][4][EnergyNonZeroRatedBiomass]",Submission!$O:$O,Submission!$H:$N,""))</f>
        <v>0</v>
      </c>
      <c r="K1392" s="126" t="str">
        <f>_xlfn.CONCAT(_xlfn.XLOOKUP("[S05_BiomassInstallations][4][EnergyFossil]",Submission!$O:$O,Submission!$H:$N,""))</f>
        <v>496</v>
      </c>
    </row>
    <row r="1393" spans="1:11" ht="44.4" customHeight="1" x14ac:dyDescent="0.3">
      <c r="A1393" s="12"/>
      <c r="C1393" s="125" t="str">
        <f>_xlfn.CONCAT(_xlfn.XLOOKUP("[S05_BiomassInstallations][5][Annex1Activity]",Submission!$O:$O,Submission!$H:$N,""))</f>
        <v xml:space="preserve">36 - Production of paper or cardboard as specified in Annex I of Directive 2003/87/EC </v>
      </c>
      <c r="D1393" s="128" t="str">
        <f>_xlfn.CONCAT(_xlfn.XLOOKUP("[S05_BiomassInstallations][5][BiomassInstallationCategory]",Submission!$O:$O,Submission!$H:$N,""))</f>
        <v>Category A</v>
      </c>
      <c r="E1393" s="126" t="str">
        <f>_xlfn.CONCAT(_xlfn.XLOOKUP("[S05_BiomassInstallations][5][NumberUsingBiomass]",Submission!$O:$O,Submission!$H:$N,""))</f>
        <v>1</v>
      </c>
      <c r="F1393" s="126" t="str">
        <f>_xlfn.CONCAT(_xlfn.XLOOKUP("[S05_BiomassInstallations][5][EmissionsBiomassSustainabilitySatisfied]",Submission!$O:$O,Submission!$H:$N,""))</f>
        <v>239481</v>
      </c>
      <c r="G1393" s="126" t="str">
        <f>_xlfn.CONCAT(_xlfn.XLOOKUP("[S05_BiomassInstallations][5][EmissionsBiomassSustainabilityNotSatisfied]",Submission!$O:$O,Submission!$H:$N,""))</f>
        <v>0</v>
      </c>
      <c r="H1393" s="126" t="str">
        <f>_xlfn.CONCAT(_xlfn.XLOOKUP("[S05_BiomassInstallations][5][EmissionsFossil]",Submission!$O:$O,Submission!$H:$N,""))</f>
        <v>12888</v>
      </c>
      <c r="I1393" s="126" t="str">
        <f>_xlfn.CONCAT(_xlfn.XLOOKUP("[S05_BiomassInstallations][5][EnergyZeroRatedBiomass]",Submission!$O:$O,Submission!$H:$N,""))</f>
        <v>2260</v>
      </c>
      <c r="J1393" s="126" t="str">
        <f>_xlfn.CONCAT(_xlfn.XLOOKUP("[S05_BiomassInstallations][5][EnergyNonZeroRatedBiomass]",Submission!$O:$O,Submission!$H:$N,""))</f>
        <v>0</v>
      </c>
      <c r="K1393" s="126" t="str">
        <f>_xlfn.CONCAT(_xlfn.XLOOKUP("[S05_BiomassInstallations][5][EnergyFossil]",Submission!$O:$O,Submission!$H:$N,""))</f>
        <v>228</v>
      </c>
    </row>
    <row r="1394" spans="1:11" ht="44.4" customHeight="1" x14ac:dyDescent="0.3">
      <c r="A1394" s="12"/>
      <c r="C1394" s="125" t="str">
        <f>_xlfn.CONCAT(_xlfn.XLOOKUP("[S05_BiomassInstallations][6][Annex1Activity]",Submission!$O:$O,Submission!$H:$N,""))</f>
        <v>21 - Refining of mineral oil</v>
      </c>
      <c r="D1394" s="128" t="str">
        <f>_xlfn.CONCAT(_xlfn.XLOOKUP("[S05_BiomassInstallations][6][BiomassInstallationCategory]",Submission!$O:$O,Submission!$H:$N,""))</f>
        <v>Category B</v>
      </c>
      <c r="E1394" s="126" t="str">
        <f>_xlfn.CONCAT(_xlfn.XLOOKUP("[S05_BiomassInstallations][6][NumberUsingBiomass]",Submission!$O:$O,Submission!$H:$N,""))</f>
        <v>1</v>
      </c>
      <c r="F1394" s="126" t="str">
        <f>_xlfn.CONCAT(_xlfn.XLOOKUP("[S05_BiomassInstallations][6][EmissionsBiomassSustainabilitySatisfied]",Submission!$O:$O,Submission!$H:$N,""))</f>
        <v>3459</v>
      </c>
      <c r="G1394" s="126" t="str">
        <f>_xlfn.CONCAT(_xlfn.XLOOKUP("[S05_BiomassInstallations][6][EmissionsBiomassSustainabilityNotSatisfied]",Submission!$O:$O,Submission!$H:$N,""))</f>
        <v>0</v>
      </c>
      <c r="H1394" s="126" t="str">
        <f>_xlfn.CONCAT(_xlfn.XLOOKUP("[S05_BiomassInstallations][6][EmissionsFossil]",Submission!$O:$O,Submission!$H:$N,""))</f>
        <v>642</v>
      </c>
      <c r="I1394" s="126" t="str">
        <f>_xlfn.CONCAT(_xlfn.XLOOKUP("[S05_BiomassInstallations][6][EnergyZeroRatedBiomass]",Submission!$O:$O,Submission!$H:$N,""))</f>
        <v>30.89</v>
      </c>
      <c r="J1394" s="126" t="str">
        <f>_xlfn.CONCAT(_xlfn.XLOOKUP("[S05_BiomassInstallations][6][EnergyNonZeroRatedBiomass]",Submission!$O:$O,Submission!$H:$N,""))</f>
        <v>0</v>
      </c>
      <c r="K1394" s="126" t="str">
        <f>_xlfn.CONCAT(_xlfn.XLOOKUP("[S05_BiomassInstallations][6][EnergyFossil]",Submission!$O:$O,Submission!$H:$N,""))</f>
        <v>8.3</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All installations, except one, use solid biomass for which no sustainability criteria are to be applied. One installation is using biogas (not for transportation) which no sustainability criteria are to be applied.</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0</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
      </c>
      <c r="D1452" s="348"/>
      <c r="E1452" s="348"/>
      <c r="F1452" s="285"/>
      <c r="G1452" s="376" t="str">
        <f>_xlfn.CONCAT(_xlfn.XLOOKUP("[S05_SimplifiedMonitoringArt13Detail][1][Art13RiskAssessmentPrinciples]",Submission!$O:$O,Submission!$H:$N,""))</f>
        <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1</v>
      </c>
      <c r="F1462" s="359"/>
      <c r="G1462" s="364" t="str">
        <f>_xlfn.CONCAT(_xlfn.XLOOKUP("[S05_AircraftMethodFuelConsumption][1][SmallEmittersShare]",Submission!$O:$O,Submission!$H:$N,""))</f>
        <v>0</v>
      </c>
      <c r="H1462" s="364"/>
      <c r="I1462" s="364"/>
    </row>
    <row r="1463" spans="1:9" ht="15.9" customHeight="1" x14ac:dyDescent="0.3">
      <c r="A1463" s="13"/>
      <c r="C1463" s="366" t="s">
        <v>948</v>
      </c>
      <c r="D1463" s="366"/>
      <c r="E1463" s="359" t="str">
        <f>_xlfn.CONCAT(_xlfn.XLOOKUP("[S05_AircraftMethodFuelConsumption][2][CountAircraftOperators]",Submission!$O:$O,Submission!$H:$N,""))</f>
        <v>0</v>
      </c>
      <c r="F1463" s="359"/>
      <c r="G1463" s="364" t="str">
        <f>_xlfn.CONCAT(_xlfn.XLOOKUP("[S05_AircraftMethodFuelConsumption][2][SmallEmittersShare]",Submission!$O:$O,Submission!$H:$N,""))</f>
        <v>0</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0</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9525</v>
      </c>
      <c r="H1472" s="357"/>
      <c r="I1472" s="357"/>
    </row>
    <row r="1473" spans="1:10" ht="28.95" customHeight="1" x14ac:dyDescent="0.3">
      <c r="C1473" s="354" t="s">
        <v>957</v>
      </c>
      <c r="D1473" s="354"/>
      <c r="E1473" s="354"/>
      <c r="F1473" s="354"/>
      <c r="G1473" s="357" t="str">
        <f>_xlfn.CONCAT(_xlfn.XLOOKUP("[S05_TotalFlightEmissions][2][TotalFlightEmissions]",Submission!$O:$O,Submission!$H:$N,""))</f>
        <v>7</v>
      </c>
      <c r="H1473" s="357"/>
      <c r="I1473" s="357"/>
    </row>
    <row r="1474" spans="1:10" ht="28.95" customHeight="1" x14ac:dyDescent="0.3">
      <c r="C1474" s="354" t="s">
        <v>958</v>
      </c>
      <c r="D1474" s="354"/>
      <c r="E1474" s="354"/>
      <c r="F1474" s="354"/>
      <c r="G1474" s="357" t="str">
        <f>_xlfn.CONCAT(_xlfn.XLOOKUP("[S05_TotalFlightEmissions][3][TotalFlightEmissions]",Submission!$O:$O,Submission!$H:$N,""))</f>
        <v>32981</v>
      </c>
      <c r="H1474" s="357"/>
      <c r="I1474" s="357"/>
    </row>
    <row r="1475" spans="1:10" ht="28.95" customHeight="1" x14ac:dyDescent="0.3">
      <c r="C1475" s="354" t="s">
        <v>959</v>
      </c>
      <c r="D1475" s="354"/>
      <c r="E1475" s="354"/>
      <c r="F1475" s="354"/>
      <c r="G1475" s="357" t="str">
        <f>_xlfn.CONCAT(_xlfn.XLOOKUP("[S05_TotalFlightEmissions][4][TotalFlightEmissions]",Submission!$O:$O,Submission!$H:$N,""))</f>
        <v>22980</v>
      </c>
      <c r="H1475" s="357"/>
      <c r="I1475" s="357"/>
    </row>
    <row r="1476" spans="1:10" ht="28.95" customHeight="1" x14ac:dyDescent="0.3">
      <c r="C1476" s="354" t="s">
        <v>960</v>
      </c>
      <c r="D1476" s="354"/>
      <c r="E1476" s="354"/>
      <c r="F1476" s="354"/>
      <c r="G1476" s="357" t="str">
        <f>_xlfn.CONCAT(_xlfn.XLOOKUP("[S05_TotalFlightEmissions][5][TotalFlightEmissions]",Submission!$O:$O,Submission!$H:$N,""))</f>
        <v>0</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0</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0</v>
      </c>
      <c r="F1486" s="373"/>
      <c r="G1486" s="375" t="str">
        <f>_xlfn.CONCAT(_xlfn.XLOOKUP("[EmissionsBiofuelsSustainabilityNotSatisfied][0][EmissionsBiofuelsSustainabilityNotSatisfied]",Submission!$O:$O,Submission!$H:$N,""))</f>
        <v>0</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0</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0</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0</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0</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1</v>
      </c>
      <c r="D1500" s="355"/>
      <c r="E1500" s="355"/>
      <c r="F1500" s="356"/>
      <c r="G1500" s="341" t="str">
        <f>_xlfn.CONCAT(_xlfn.XLOOKUP("[AircraftImprovementReportSubmitted][0][AircraftImprovementReportSubmitted]",Submission!$O:$O,Submission!$H:$N,""))</f>
        <v>1</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1</v>
      </c>
      <c r="G8" s="119"/>
      <c r="H8" s="105" t="str">
        <f>_xlfn.CONCAT(_xlfn.XLOOKUP("[S06_TotalVerifiers][1][CountVerifiersAviation]",Submission!$O:$O,Submission!$H:$N,""))</f>
        <v>0</v>
      </c>
      <c r="I8" s="119"/>
    </row>
    <row r="9" spans="1:9" s="58" customFormat="1" ht="33.6" customHeight="1" x14ac:dyDescent="0.3">
      <c r="A9" s="75"/>
      <c r="C9" s="415" t="s">
        <v>991</v>
      </c>
      <c r="D9" s="416"/>
      <c r="E9" s="417"/>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15" t="s">
        <v>992</v>
      </c>
      <c r="D10" s="416"/>
      <c r="E10" s="417"/>
      <c r="F10" s="105" t="str">
        <f>_xlfn.CONCAT(_xlfn.XLOOKUP("[S06_TotalVerifiers][3][CountVerifiersInstallations]",Submission!$O:$O,Submission!$H:$N,""))</f>
        <v>3</v>
      </c>
      <c r="G10" s="72" t="str">
        <f>_xlfn.CONCAT(_xlfn.XLOOKUP("[S06_TotalVerifiers][3][MSVerifiersInstallations]",Submission!$O:$O,Submission!$H:$N,""))</f>
        <v/>
      </c>
      <c r="H10" s="105" t="str">
        <f>_xlfn.CONCAT(_xlfn.XLOOKUP("[S06_TotalVerifiers][3][CountVerifiersAviation]",Submission!$O:$O,Submission!$H:$N,""))</f>
        <v>1</v>
      </c>
      <c r="I10" s="47" t="str">
        <f>_xlfn.CONCAT(_xlfn.XLOOKUP("[S06_TotalVerifiers][3][MSVerifiersAviation]",Submission!$O:$O,Submission!$H:$N,""))</f>
        <v/>
      </c>
    </row>
    <row r="11" spans="1:9" s="58" customFormat="1" ht="33.6" customHeight="1" x14ac:dyDescent="0.3">
      <c r="A11" s="75"/>
      <c r="C11" s="418" t="s">
        <v>993</v>
      </c>
      <c r="D11" s="418"/>
      <c r="E11" s="418"/>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13"/>
      <c r="E17" s="413"/>
      <c r="F17" s="413"/>
      <c r="G17" s="414"/>
      <c r="H17" s="132" t="str">
        <f>_xlfn.CONCAT(_xlfn.XLOOKUP("[S06_AccredCertVerifiersAnnexI][1][NumberAccredited]",Submission!$O:$O,Submission!$H:$N,""))</f>
        <v>1</v>
      </c>
      <c r="I17" s="132" t="str">
        <f>_xlfn.CONCAT(_xlfn.XLOOKUP("[S06_AccredCertVerifiersAnnexI][1][NumberCertified]",Submission!$O:$O,Submission!$H:$N,""))</f>
        <v>0</v>
      </c>
    </row>
    <row r="18" spans="2:9" ht="27.6" customHeight="1" x14ac:dyDescent="0.3">
      <c r="B18" s="20"/>
      <c r="C18" s="412" t="str">
        <f>_xlfn.CONCAT(_xlfn.XLOOKUP("[S06_AccredCertVerifiersAnnexI][2][AccredCertScope]",Submission!$O:$O,Submission!$H:$N,""))</f>
        <v>1b - Combustion of fuels in installations, without restrictions</v>
      </c>
      <c r="D18" s="413"/>
      <c r="E18" s="413"/>
      <c r="F18" s="413"/>
      <c r="G18" s="414"/>
      <c r="H18" s="132" t="str">
        <f>_xlfn.CONCAT(_xlfn.XLOOKUP("[S06_AccredCertVerifiersAnnexI][2][NumberAccredited]",Submission!$O:$O,Submission!$H:$N,""))</f>
        <v>1</v>
      </c>
      <c r="I18" s="132" t="str">
        <f>_xlfn.CONCAT(_xlfn.XLOOKUP("[S06_AccredCertVerifiersAnnexI][2][NumberCertified]",Submission!$O:$O,Submission!$H:$N,""))</f>
        <v>0</v>
      </c>
    </row>
    <row r="19" spans="2:9" ht="27.6" customHeight="1" x14ac:dyDescent="0.3">
      <c r="B19" s="20"/>
      <c r="C19" s="412" t="str">
        <f>_xlfn.CONCAT(_xlfn.XLOOKUP("[S06_AccredCertVerifiersAnnexI][3][AccredCertScope]",Submission!$O:$O,Submission!$H:$N,""))</f>
        <v>2 - Refining of mineral oil</v>
      </c>
      <c r="D19" s="413"/>
      <c r="E19" s="413"/>
      <c r="F19" s="413"/>
      <c r="G19" s="414"/>
      <c r="H19" s="132" t="str">
        <f>_xlfn.CONCAT(_xlfn.XLOOKUP("[S06_AccredCertVerifiersAnnexI][3][NumberAccredited]",Submission!$O:$O,Submission!$H:$N,""))</f>
        <v>1</v>
      </c>
      <c r="I19" s="132" t="str">
        <f>_xlfn.CONCAT(_xlfn.XLOOKUP("[S06_AccredCertVerifiersAnnexI][3][NumberCertified]",Submission!$O:$O,Submission!$H:$N,""))</f>
        <v>0</v>
      </c>
    </row>
    <row r="20" spans="2:9" ht="27.6" customHeight="1" x14ac:dyDescent="0.3">
      <c r="B20" s="20"/>
      <c r="C20" s="412" t="str">
        <f>_xlfn.CONCAT(_xlfn.XLOOKUP("[S06_AccredCertVerifiersAnnexI][4][AccredCertScope]",Submission!$O:$O,Submission!$H:$N,""))</f>
        <v xml:space="preserve">6 - Production of lime or calcination of dolomite or magnesite </v>
      </c>
      <c r="D20" s="413"/>
      <c r="E20" s="413"/>
      <c r="F20" s="413"/>
      <c r="G20" s="414"/>
      <c r="H20" s="132" t="str">
        <f>_xlfn.CONCAT(_xlfn.XLOOKUP("[S06_AccredCertVerifiersAnnexI][4][NumberAccredited]",Submission!$O:$O,Submission!$H:$N,""))</f>
        <v>1</v>
      </c>
      <c r="I20" s="132" t="str">
        <f>_xlfn.CONCAT(_xlfn.XLOOKUP("[S06_AccredCertVerifiersAnnexI][4][NumberCertified]",Submission!$O:$O,Submission!$H:$N,""))</f>
        <v>0</v>
      </c>
    </row>
    <row r="21" spans="2:9" ht="27.6" customHeight="1" x14ac:dyDescent="0.3">
      <c r="B21" s="20"/>
      <c r="C21" s="412" t="str">
        <f>_xlfn.CONCAT(_xlfn.XLOOKUP("[S06_AccredCertVerifiersAnnexI][5][AccredCertScope]",Submission!$O:$O,Submission!$H:$N,""))</f>
        <v>98 - Other activities pursuant to Article 10a of Directive 2003/87/EC</v>
      </c>
      <c r="D21" s="413"/>
      <c r="E21" s="413"/>
      <c r="F21" s="413"/>
      <c r="G21" s="414"/>
      <c r="H21" s="132" t="str">
        <f>_xlfn.CONCAT(_xlfn.XLOOKUP("[S06_AccredCertVerifiersAnnexI][5][NumberAccredited]",Submission!$O:$O,Submission!$H:$N,""))</f>
        <v>1</v>
      </c>
      <c r="I21" s="132" t="str">
        <f>_xlfn.CONCAT(_xlfn.XLOOKUP("[S06_AccredCertVerifiersAnnexI][5][NumberCertified]",Submission!$O:$O,Submission!$H:$N,""))</f>
        <v>0</v>
      </c>
    </row>
    <row r="22" spans="2:9" ht="27.6" customHeight="1" x14ac:dyDescent="0.3">
      <c r="B22" s="20"/>
      <c r="C22" s="412" t="str">
        <f>_xlfn.CONCAT(_xlfn.XLOOKUP("[S06_AccredCertVerifiersAnnexI][6][AccredCertScope]",Submission!$O:$O,Submission!$H:$N,""))</f>
        <v/>
      </c>
      <c r="D22" s="413"/>
      <c r="E22" s="413"/>
      <c r="F22" s="413"/>
      <c r="G22" s="414"/>
      <c r="H22" s="132" t="str">
        <f>_xlfn.CONCAT(_xlfn.XLOOKUP("[S06_AccredCertVerifiersAnnexI][6][NumberAccredited]",Submission!$O:$O,Submission!$H:$N,""))</f>
        <v/>
      </c>
      <c r="I22" s="132" t="str">
        <f>_xlfn.CONCAT(_xlfn.XLOOKUP("[S06_AccredCertVerifiersAnnexI][6][NumberCertified]",Submission!$O:$O,Submission!$H:$N,""))</f>
        <v/>
      </c>
    </row>
    <row r="23" spans="2:9" ht="27.6" customHeight="1" x14ac:dyDescent="0.3">
      <c r="B23" s="20"/>
      <c r="C23" s="412" t="str">
        <f>_xlfn.CONCAT(_xlfn.XLOOKUP("[S06_AccredCertVerifiersAnnexI][7][AccredCertScope]",Submission!$O:$O,Submission!$H:$N,""))</f>
        <v/>
      </c>
      <c r="D23" s="413"/>
      <c r="E23" s="413"/>
      <c r="F23" s="413"/>
      <c r="G23" s="414"/>
      <c r="H23" s="132" t="str">
        <f>_xlfn.CONCAT(_xlfn.XLOOKUP("[S06_AccredCertVerifiersAnnexI][7][NumberAccredited]",Submission!$O:$O,Submission!$H:$N,""))</f>
        <v/>
      </c>
      <c r="I23" s="132" t="str">
        <f>_xlfn.CONCAT(_xlfn.XLOOKUP("[S06_AccredCertVerifiersAnnexI][7][NumberCertified]",Submission!$O:$O,Submission!$H:$N,""))</f>
        <v/>
      </c>
    </row>
    <row r="24" spans="2:9" ht="27.6" customHeight="1" x14ac:dyDescent="0.3">
      <c r="B24" s="20"/>
      <c r="C24" s="412" t="str">
        <f>_xlfn.CONCAT(_xlfn.XLOOKUP("[S06_AccredCertVerifiersAnnexI][8][AccredCertScope]",Submission!$O:$O,Submission!$H:$N,""))</f>
        <v/>
      </c>
      <c r="D24" s="413"/>
      <c r="E24" s="413"/>
      <c r="F24" s="413"/>
      <c r="G24" s="414"/>
      <c r="H24" s="132" t="str">
        <f>_xlfn.CONCAT(_xlfn.XLOOKUP("[S06_AccredCertVerifiersAnnexI][8][NumberAccredited]",Submission!$O:$O,Submission!$H:$N,""))</f>
        <v/>
      </c>
      <c r="I24" s="132" t="str">
        <f>_xlfn.CONCAT(_xlfn.XLOOKUP("[S06_AccredCertVerifiersAnnexI][8][NumberCertified]",Submission!$O:$O,Submission!$H:$N,""))</f>
        <v/>
      </c>
    </row>
    <row r="25" spans="2:9" ht="27.6" customHeight="1" x14ac:dyDescent="0.3">
      <c r="B25" s="20"/>
      <c r="C25" s="412" t="str">
        <f>_xlfn.CONCAT(_xlfn.XLOOKUP("[S06_AccredCertVerifiersAnnexI][9][AccredCertScope]",Submission!$O:$O,Submission!$H:$N,""))</f>
        <v/>
      </c>
      <c r="D25" s="413"/>
      <c r="E25" s="413"/>
      <c r="F25" s="413"/>
      <c r="G25" s="414"/>
      <c r="H25" s="132" t="str">
        <f>_xlfn.CONCAT(_xlfn.XLOOKUP("[S06_AccredCertVerifiersAnnexI][9][NumberAccredited]",Submission!$O:$O,Submission!$H:$N,""))</f>
        <v/>
      </c>
      <c r="I25" s="132" t="str">
        <f>_xlfn.CONCAT(_xlfn.XLOOKUP("[S06_AccredCertVerifiersAnnexI][9][NumberCertified]",Submission!$O:$O,Submission!$H:$N,""))</f>
        <v/>
      </c>
    </row>
    <row r="26" spans="2:9" ht="27.6" customHeight="1" x14ac:dyDescent="0.3">
      <c r="B26" s="20"/>
      <c r="C26" s="412" t="str">
        <f>_xlfn.CONCAT(_xlfn.XLOOKUP("[S06_AccredCertVerifiersAnnexI][10][AccredCertScope]",Submission!$O:$O,Submission!$H:$N,""))</f>
        <v/>
      </c>
      <c r="D26" s="413"/>
      <c r="E26" s="413"/>
      <c r="F26" s="413"/>
      <c r="G26" s="414"/>
      <c r="H26" s="132" t="str">
        <f>_xlfn.CONCAT(_xlfn.XLOOKUP("[S06_AccredCertVerifiersAnnexI][10][NumberAccredited]",Submission!$O:$O,Submission!$H:$N,""))</f>
        <v/>
      </c>
      <c r="I26" s="132" t="str">
        <f>_xlfn.CONCAT(_xlfn.XLOOKUP("[S06_AccredCertVerifiersAnnexI][10][NumberCertified]",Submission!$O:$O,Submission!$H:$N,""))</f>
        <v/>
      </c>
    </row>
    <row r="27" spans="2:9" ht="27.6" customHeight="1" x14ac:dyDescent="0.3">
      <c r="B27" s="20"/>
      <c r="C27" s="412" t="str">
        <f>_xlfn.CONCAT(_xlfn.XLOOKUP("[S06_AccredCertVerifiersAnnexI][11][AccredCertScope]",Submission!$O:$O,Submission!$H:$N,""))</f>
        <v/>
      </c>
      <c r="D27" s="413"/>
      <c r="E27" s="413"/>
      <c r="F27" s="413"/>
      <c r="G27" s="414"/>
      <c r="H27" s="132" t="str">
        <f>_xlfn.CONCAT(_xlfn.XLOOKUP("[S06_AccredCertVerifiersAnnexI][11][NumberAccredited]",Submission!$O:$O,Submission!$H:$N,""))</f>
        <v/>
      </c>
      <c r="I27" s="132" t="str">
        <f>_xlfn.CONCAT(_xlfn.XLOOKUP("[S06_AccredCertVerifiersAnnexI][11][NumberCertified]",Submission!$O:$O,Submission!$H:$N,""))</f>
        <v/>
      </c>
    </row>
    <row r="28" spans="2:9" ht="27.6" customHeight="1" x14ac:dyDescent="0.3">
      <c r="B28" s="20"/>
      <c r="C28" s="412" t="str">
        <f>_xlfn.CONCAT(_xlfn.XLOOKUP("[S06_AccredCertVerifiersAnnexI][12][AccredCertScope]",Submission!$O:$O,Submission!$H:$N,""))</f>
        <v/>
      </c>
      <c r="D28" s="413"/>
      <c r="E28" s="413"/>
      <c r="F28" s="413"/>
      <c r="G28" s="414"/>
      <c r="H28" s="132" t="str">
        <f>_xlfn.CONCAT(_xlfn.XLOOKUP("[S06_AccredCertVerifiersAnnexI][12][NumberAccredited]",Submission!$O:$O,Submission!$H:$N,""))</f>
        <v/>
      </c>
      <c r="I28" s="132" t="str">
        <f>_xlfn.CONCAT(_xlfn.XLOOKUP("[S06_AccredCertVerifiersAnnexI][12][NumberCertified]",Submission!$O:$O,Submission!$H:$N,""))</f>
        <v/>
      </c>
    </row>
    <row r="29" spans="2:9" ht="27.6" hidden="1" customHeight="1" outlineLevel="1" x14ac:dyDescent="0.3">
      <c r="B29" s="20"/>
      <c r="C29" s="412" t="str">
        <f>_xlfn.CONCAT(_xlfn.XLOOKUP("[S06_AccredCertVerifiersAnnexI][13][AccredCertScope]",Submission!$O:$O,Submission!$H:$N,""))</f>
        <v/>
      </c>
      <c r="D29" s="413"/>
      <c r="E29" s="413"/>
      <c r="F29" s="413"/>
      <c r="G29" s="414"/>
      <c r="H29" s="132" t="str">
        <f>_xlfn.CONCAT(_xlfn.XLOOKUP("[S06_AccredCertVerifiersAnnexI][13][NumberAccredited]",Submission!$O:$O,Submission!$H:$N,""))</f>
        <v/>
      </c>
      <c r="I29" s="132" t="str">
        <f>_xlfn.CONCAT(_xlfn.XLOOKUP("[S06_AccredCertVerifiersAnnexI][13][NumberCertified]",Submission!$O:$O,Submission!$H:$N,""))</f>
        <v/>
      </c>
    </row>
    <row r="30" spans="2:9" ht="27.6" hidden="1" customHeight="1" outlineLevel="1" x14ac:dyDescent="0.3">
      <c r="B30" s="20"/>
      <c r="C30" s="412" t="str">
        <f>_xlfn.CONCAT(_xlfn.XLOOKUP("[S06_AccredCertVerifiersAnnexI][14][AccredCertScope]",Submission!$O:$O,Submission!$H:$N,""))</f>
        <v/>
      </c>
      <c r="D30" s="413"/>
      <c r="E30" s="413"/>
      <c r="F30" s="413"/>
      <c r="G30" s="414"/>
      <c r="H30" s="132" t="str">
        <f>_xlfn.CONCAT(_xlfn.XLOOKUP("[S06_AccredCertVerifiersAnnexI][14][NumberAccredited]",Submission!$O:$O,Submission!$H:$N,""))</f>
        <v/>
      </c>
      <c r="I30" s="132" t="str">
        <f>_xlfn.CONCAT(_xlfn.XLOOKUP("[S06_AccredCertVerifiersAnnexI][14][NumberCertified]",Submission!$O:$O,Submission!$H:$N,""))</f>
        <v/>
      </c>
    </row>
    <row r="31" spans="2:9" ht="27.6" hidden="1" customHeight="1" outlineLevel="1" x14ac:dyDescent="0.3">
      <c r="B31" s="20"/>
      <c r="C31" s="412" t="str">
        <f>_xlfn.CONCAT(_xlfn.XLOOKUP("[S06_AccredCertVerifiersAnnexI][15][AccredCertScope]",Submission!$O:$O,Submission!$H:$N,""))</f>
        <v/>
      </c>
      <c r="D31" s="413"/>
      <c r="E31" s="413"/>
      <c r="F31" s="413"/>
      <c r="G31" s="414"/>
      <c r="H31" s="132" t="str">
        <f>_xlfn.CONCAT(_xlfn.XLOOKUP("[S06_AccredCertVerifiersAnnexI][15][NumberAccredited]",Submission!$O:$O,Submission!$H:$N,""))</f>
        <v/>
      </c>
      <c r="I31" s="132" t="str">
        <f>_xlfn.CONCAT(_xlfn.XLOOKUP("[S06_AccredCertVerifiersAnnexI][15][NumberCertified]",Submission!$O:$O,Submission!$H:$N,""))</f>
        <v/>
      </c>
    </row>
    <row r="32" spans="2:9" ht="27.6" hidden="1" customHeight="1" outlineLevel="1" x14ac:dyDescent="0.3">
      <c r="B32" s="20"/>
      <c r="C32" s="412" t="str">
        <f>_xlfn.CONCAT(_xlfn.XLOOKUP("[S06_AccredCertVerifiersAnnexI][16][AccredCertScope]",Submission!$O:$O,Submission!$H:$N,""))</f>
        <v/>
      </c>
      <c r="D32" s="413"/>
      <c r="E32" s="413"/>
      <c r="F32" s="413"/>
      <c r="G32" s="414"/>
      <c r="H32" s="132" t="str">
        <f>_xlfn.CONCAT(_xlfn.XLOOKUP("[S06_AccredCertVerifiersAnnexI][16][NumberAccredited]",Submission!$O:$O,Submission!$H:$N,""))</f>
        <v/>
      </c>
      <c r="I32" s="132" t="str">
        <f>_xlfn.CONCAT(_xlfn.XLOOKUP("[S06_AccredCertVerifiersAnnexI][16][NumberCertified]",Submission!$O:$O,Submission!$H:$N,""))</f>
        <v/>
      </c>
    </row>
    <row r="33" spans="2:9" ht="27.6" hidden="1" customHeight="1" outlineLevel="1" x14ac:dyDescent="0.3">
      <c r="B33" s="20"/>
      <c r="C33" s="412" t="str">
        <f>_xlfn.CONCAT(_xlfn.XLOOKUP("[S06_AccredCertVerifiersAnnexI][17][AccredCertScope]",Submission!$O:$O,Submission!$H:$N,""))</f>
        <v/>
      </c>
      <c r="D33" s="413"/>
      <c r="E33" s="413"/>
      <c r="F33" s="413"/>
      <c r="G33" s="414"/>
      <c r="H33" s="132" t="str">
        <f>_xlfn.CONCAT(_xlfn.XLOOKUP("[S06_AccredCertVerifiersAnnexI][17][NumberAccredited]",Submission!$O:$O,Submission!$H:$N,""))</f>
        <v/>
      </c>
      <c r="I33" s="132" t="str">
        <f>_xlfn.CONCAT(_xlfn.XLOOKUP("[S06_AccredCertVerifiersAnnexI][17][NumberCertified]",Submission!$O:$O,Submission!$H:$N,""))</f>
        <v/>
      </c>
    </row>
    <row r="34" spans="2:9" ht="27.6" hidden="1" customHeight="1" outlineLevel="1" x14ac:dyDescent="0.3">
      <c r="B34" s="20"/>
      <c r="C34" s="412" t="str">
        <f>_xlfn.CONCAT(_xlfn.XLOOKUP("[S06_AccredCertVerifiersAnnexI][18][AccredCertScope]",Submission!$O:$O,Submission!$H:$N,""))</f>
        <v/>
      </c>
      <c r="D34" s="413"/>
      <c r="E34" s="413"/>
      <c r="F34" s="413"/>
      <c r="G34" s="414"/>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2" t="str">
        <f>_xlfn.CONCAT(_xlfn.XLOOKUP("[S06_AccredCertVerifiersAnnexI][19][AccredCertScope]",Submission!$O:$O,Submission!$H:$N,""))</f>
        <v/>
      </c>
      <c r="D35" s="413"/>
      <c r="E35" s="413"/>
      <c r="F35" s="413"/>
      <c r="G35" s="414"/>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2" t="str">
        <f>_xlfn.CONCAT(_xlfn.XLOOKUP("[S06_AccredCertVerifiersAnnexI][20][AccredCertScope]",Submission!$O:$O,Submission!$H:$N,""))</f>
        <v/>
      </c>
      <c r="D36" s="413"/>
      <c r="E36" s="413"/>
      <c r="F36" s="413"/>
      <c r="G36" s="414"/>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2" t="str">
        <f>_xlfn.CONCAT(_xlfn.XLOOKUP("[S06_AccredCertVerifiersAnnexI][21][AccredCertScope]",Submission!$O:$O,Submission!$H:$N,""))</f>
        <v/>
      </c>
      <c r="D37" s="413"/>
      <c r="E37" s="413"/>
      <c r="F37" s="413"/>
      <c r="G37" s="414"/>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2" t="str">
        <f>_xlfn.CONCAT(_xlfn.XLOOKUP("[S06_AccredCertVerifiersAnnexI][22][AccredCertScope]",Submission!$O:$O,Submission!$H:$N,""))</f>
        <v/>
      </c>
      <c r="D38" s="413"/>
      <c r="E38" s="413"/>
      <c r="F38" s="413"/>
      <c r="G38" s="414"/>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2" t="str">
        <f>_xlfn.CONCAT(_xlfn.XLOOKUP("[S06_AccredCertVerifiersAnnexI][23][AccredCertScope]",Submission!$O:$O,Submission!$H:$N,""))</f>
        <v/>
      </c>
      <c r="D39" s="413"/>
      <c r="E39" s="413"/>
      <c r="F39" s="413"/>
      <c r="G39" s="414"/>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2" t="str">
        <f>_xlfn.CONCAT(_xlfn.XLOOKUP("[S06_AccredCertVerifiersAnnexI][24][AccredCertScope]",Submission!$O:$O,Submission!$H:$N,""))</f>
        <v/>
      </c>
      <c r="D40" s="413"/>
      <c r="E40" s="413"/>
      <c r="F40" s="413"/>
      <c r="G40" s="414"/>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Yes</v>
      </c>
      <c r="H56" s="285"/>
      <c r="I56" s="47" t="str">
        <f>_xlfn.CONCAT(_xlfn.XLOOKUP("[S06_ApplicationInformationExchangeRequirements1][1][FromOtherMS]",Submission!$O:$O,Submission!$H:$N,""))</f>
        <v>Partially</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Yes</v>
      </c>
      <c r="H58" s="285"/>
      <c r="I58" s="47" t="str">
        <f>_xlfn.CONCAT(_xlfn.XLOOKUP("[S06_ApplicationInformationExchangeRequirements1][2][FromOtherMS]",Submission!$O:$O,Submission!$H:$N,""))</f>
        <v>No</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Yes</v>
      </c>
      <c r="H60" s="285"/>
      <c r="I60" s="47" t="str">
        <f>_xlfn.CONCAT(_xlfn.XLOOKUP("[S06_ApplicationInformationExchangeRequirements1][3][FromOtherMS]",Submission!$O:$O,Submission!$H:$N,""))</f>
        <v>No</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6" t="s">
        <v>1015</v>
      </c>
      <c r="D65" s="263"/>
      <c r="E65" s="263"/>
      <c r="F65" s="264"/>
      <c r="G65" s="341" t="str">
        <f>_xlfn.CONCAT(_xlfn.XLOOKUP("[S06_ApplicationInformationExchangeRequirements3][0][TimesSurveillanceRequested]",Submission!$O:$O,Submission!$H:$N,""))</f>
        <v>0</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3"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0</v>
      </c>
      <c r="I125" s="356"/>
    </row>
    <row r="126" spans="1:9" ht="18" customHeight="1" x14ac:dyDescent="0.3">
      <c r="C126" s="246" t="s">
        <v>1039</v>
      </c>
      <c r="D126" s="263"/>
      <c r="E126" s="263"/>
      <c r="F126" s="263"/>
      <c r="G126" s="264"/>
      <c r="H126" s="341" t="str">
        <f>_xlfn.CONCAT(_xlfn.XLOOKUP("[S06_NegativeOpinionInstallations][2][CountNegativeOpinions]",Submission!$O:$O,Submission!$H:$N,""))</f>
        <v>0</v>
      </c>
      <c r="I126" s="356"/>
    </row>
    <row r="127" spans="1:9" ht="18" customHeight="1" x14ac:dyDescent="0.3">
      <c r="C127" s="246" t="s">
        <v>1040</v>
      </c>
      <c r="D127" s="263"/>
      <c r="E127" s="263"/>
      <c r="F127" s="263"/>
      <c r="G127" s="264"/>
      <c r="H127" s="341" t="str">
        <f>_xlfn.CONCAT(_xlfn.XLOOKUP("[S06_NegativeOpinionInstallations][3][CountNegativeOpinions]",Submission!$O:$O,Submission!$H:$N,""))</f>
        <v>0</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21 - Refining of mineral oil</v>
      </c>
      <c r="D133" s="347"/>
      <c r="E133" s="281" t="str">
        <f>_xlfn.CONCAT(_xlfn.XLOOKUP("[S06_InstallationsVerificationReportsIssueDetail]["&amp;1&amp;"][TypeOfIssue]",Submission!$O:$O,Submission!$H:$N,""))</f>
        <v>Non-conformities not leading to a negative verification opinion statement</v>
      </c>
      <c r="F133" s="347"/>
      <c r="G133" s="105" t="str">
        <f>_xlfn.CONCAT(_xlfn.XLOOKUP("[S06_InstallationsVerificationReportsIssueDetail]["&amp;1&amp;"][NumberOfInstallations]",Submission!$O:$O,Submission!$H:$N,""))</f>
        <v>1</v>
      </c>
      <c r="H133" s="108" t="str">
        <f>_xlfn.CONCAT(_xlfn.XLOOKUP("[S06_InstallationsVerificationReportsIssueDetail]["&amp;1&amp;"][NumberOfIssues]",Submission!$O:$O,Submission!$H:$N,""))</f>
        <v>1</v>
      </c>
      <c r="I133" s="183" t="str">
        <f>_xlfn.CONCAT(_xlfn.XLOOKUP("[S06_InstallationsVerificationReportsIssueDetail]["&amp;1&amp;"][ShareOfReportsConservativeEstimate]",Submission!$O:$O,Submission!$H:$N,""))</f>
        <v>0</v>
      </c>
    </row>
    <row r="134" spans="1:9" ht="26.4" customHeight="1" x14ac:dyDescent="0.3">
      <c r="A134" s="13"/>
      <c r="C134" s="281" t="str">
        <f>_xlfn.CONCAT(_xlfn.XLOOKUP("[S06_InstallationsVerificationReportsIssueDetail]["&amp;1+ROW(B134)-ROW($B$133)&amp;"][AnnexIActivity]",Submission!$O:$O,Submission!$H:$N,""))</f>
        <v>21 - Refining of mineral oil</v>
      </c>
      <c r="D134" s="347"/>
      <c r="E134" s="281" t="str">
        <f>_xlfn.CONCAT(_xlfn.XLOOKUP("[S06_InstallationsVerificationReportsIssueDetail]["&amp;1+ROW(B134)-ROW($B$133)&amp;"][TypeOfIssue]",Submission!$O:$O,Submission!$H:$N,""))</f>
        <v>Non-compliance with Implementing Regulation (EU) 2018/2066</v>
      </c>
      <c r="F134" s="347"/>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1</v>
      </c>
      <c r="I134" s="183" t="str">
        <f>_xlfn.CONCAT(_xlfn.XLOOKUP("[S06_InstallationsVerificationReportsIssueDetail]["&amp;1+ROW(B134)-ROW($B$133)&amp;"][ShareOfReportsConservativeEstimate]",Submission!$O:$O,Submission!$H:$N,""))</f>
        <v>0</v>
      </c>
    </row>
    <row r="135" spans="1:9" ht="26.4" customHeight="1" x14ac:dyDescent="0.3">
      <c r="A135" s="13"/>
      <c r="C135" s="281" t="str">
        <f>_xlfn.CONCAT(_xlfn.XLOOKUP("[S06_InstallationsVerificationReportsIssueDetail]["&amp;1+ROW(B135)-ROW($B$133)&amp;"][AnnexIActivity]",Submission!$O:$O,Submission!$H:$N,""))</f>
        <v>20 - Combustion of fuels as specified in Annex I of Directive 2003/87/EC</v>
      </c>
      <c r="D135" s="347"/>
      <c r="E135" s="281" t="str">
        <f>_xlfn.CONCAT(_xlfn.XLOOKUP("[S06_InstallationsVerificationReportsIssueDetail]["&amp;1+ROW(B135)-ROW($B$133)&amp;"][TypeOfIssue]",Submission!$O:$O,Submission!$H:$N,""))</f>
        <v>Non-compliance with Implementing Regulation (EU) 2018/2066</v>
      </c>
      <c r="F135" s="347"/>
      <c r="G135" s="105" t="str">
        <f>_xlfn.CONCAT(_xlfn.XLOOKUP("[S06_InstallationsVerificationReportsIssueDetail]["&amp;1+ROW(B135)-ROW($B$133)&amp;"][NumberOfInstallations]",Submission!$O:$O,Submission!$H:$N,""))</f>
        <v>5</v>
      </c>
      <c r="H135" s="108" t="str">
        <f>_xlfn.CONCAT(_xlfn.XLOOKUP("[S06_InstallationsVerificationReportsIssueDetail]["&amp;1+ROW(B135)-ROW($B$133)&amp;"][NumberOfIssues]",Submission!$O:$O,Submission!$H:$N,""))</f>
        <v>5</v>
      </c>
      <c r="I135" s="183" t="str">
        <f>_xlfn.CONCAT(_xlfn.XLOOKUP("[S06_InstallationsVerificationReportsIssueDetail]["&amp;1+ROW(B135)-ROW($B$133)&amp;"][ShareOfReportsConservativeEstimate]",Submission!$O:$O,Submission!$H:$N,""))</f>
        <v>0</v>
      </c>
    </row>
    <row r="136" spans="1:9" ht="26.4" customHeight="1" x14ac:dyDescent="0.3">
      <c r="A136" s="13"/>
      <c r="C136" s="281" t="str">
        <f>_xlfn.CONCAT(_xlfn.XLOOKUP("[S06_InstallationsVerificationReportsIssueDetail]["&amp;1+ROW(B136)-ROW($B$133)&amp;"][AnnexIActivity]",Submission!$O:$O,Submission!$H:$N,""))</f>
        <v>20 - Combustion of fuels as specified in Annex I of Directive 2003/87/EC</v>
      </c>
      <c r="D136" s="347"/>
      <c r="E136" s="281" t="str">
        <f>_xlfn.CONCAT(_xlfn.XLOOKUP("[S06_InstallationsVerificationReportsIssueDetail]["&amp;1+ROW(B136)-ROW($B$133)&amp;"][TypeOfIssue]",Submission!$O:$O,Submission!$H:$N,""))</f>
        <v>Recommendations for improvement</v>
      </c>
      <c r="F136" s="347"/>
      <c r="G136" s="105" t="str">
        <f>_xlfn.CONCAT(_xlfn.XLOOKUP("[S06_InstallationsVerificationReportsIssueDetail]["&amp;1+ROW(B136)-ROW($B$133)&amp;"][NumberOfInstallations]",Submission!$O:$O,Submission!$H:$N,""))</f>
        <v>14</v>
      </c>
      <c r="H136" s="108" t="str">
        <f>_xlfn.CONCAT(_xlfn.XLOOKUP("[S06_InstallationsVerificationReportsIssueDetail]["&amp;1+ROW(B136)-ROW($B$133)&amp;"][NumberOfIssues]",Submission!$O:$O,Submission!$H:$N,""))</f>
        <v>14</v>
      </c>
      <c r="I136" s="183" t="str">
        <f>_xlfn.CONCAT(_xlfn.XLOOKUP("[S06_InstallationsVerificationReportsIssueDetail]["&amp;1+ROW(B136)-ROW($B$133)&amp;"][ShareOfReportsConservativeEstimate]",Submission!$O:$O,Submission!$H:$N,""))</f>
        <v>0</v>
      </c>
    </row>
    <row r="137" spans="1:9" ht="26.4" customHeight="1" x14ac:dyDescent="0.3">
      <c r="A137" s="13"/>
      <c r="C137" s="281" t="str">
        <f>_xlfn.CONCAT(_xlfn.XLOOKUP("[S06_InstallationsVerificationReportsIssueDetail]["&amp;1+ROW(B137)-ROW($B$133)&amp;"][AnnexIActivity]",Submission!$O:$O,Submission!$H:$N,""))</f>
        <v>21 - Refining of mineral oil</v>
      </c>
      <c r="D137" s="347"/>
      <c r="E137" s="281" t="str">
        <f>_xlfn.CONCAT(_xlfn.XLOOKUP("[S06_InstallationsVerificationReportsIssueDetail]["&amp;1+ROW(B137)-ROW($B$133)&amp;"][TypeOfIssue]",Submission!$O:$O,Submission!$H:$N,""))</f>
        <v>Recommendations for improvement</v>
      </c>
      <c r="F137" s="347"/>
      <c r="G137" s="105" t="str">
        <f>_xlfn.CONCAT(_xlfn.XLOOKUP("[S06_InstallationsVerificationReportsIssueDetail]["&amp;1+ROW(B137)-ROW($B$133)&amp;"][NumberOfInstallations]",Submission!$O:$O,Submission!$H:$N,""))</f>
        <v>3</v>
      </c>
      <c r="H137" s="108" t="str">
        <f>_xlfn.CONCAT(_xlfn.XLOOKUP("[S06_InstallationsVerificationReportsIssueDetail]["&amp;1+ROW(B137)-ROW($B$133)&amp;"][NumberOfIssues]",Submission!$O:$O,Submission!$H:$N,""))</f>
        <v>3</v>
      </c>
      <c r="I137" s="183" t="str">
        <f>_xlfn.CONCAT(_xlfn.XLOOKUP("[S06_InstallationsVerificationReportsIssueDetail]["&amp;1+ROW(B137)-ROW($B$133)&amp;"][ShareOfReportsConservativeEstimate]",Submission!$O:$O,Submission!$H:$N,""))</f>
        <v>0</v>
      </c>
    </row>
    <row r="138" spans="1:9" ht="26.4" customHeight="1" x14ac:dyDescent="0.3">
      <c r="A138" s="13"/>
      <c r="C138" s="281" t="str">
        <f>_xlfn.CONCAT(_xlfn.XLOOKUP("[S06_InstallationsVerificationReportsIssueDetail]["&amp;1+ROW(B138)-ROW($B$133)&amp;"][AnnexIActivity]",Submission!$O:$O,Submission!$H:$N,""))</f>
        <v>30 - Production of lime or calcination of dolomite or magnesite as specified in Annex I of Directive 2003/87/ EC</v>
      </c>
      <c r="D138" s="347"/>
      <c r="E138" s="281" t="str">
        <f>_xlfn.CONCAT(_xlfn.XLOOKUP("[S06_InstallationsVerificationReportsIssueDetail]["&amp;1+ROW(B138)-ROW($B$133)&amp;"][TypeOfIssue]",Submission!$O:$O,Submission!$H:$N,""))</f>
        <v>Recommendations for improvement</v>
      </c>
      <c r="F138" s="347"/>
      <c r="G138" s="105" t="str">
        <f>_xlfn.CONCAT(_xlfn.XLOOKUP("[S06_InstallationsVerificationReportsIssueDetail]["&amp;1+ROW(B138)-ROW($B$133)&amp;"][NumberOfInstallations]",Submission!$O:$O,Submission!$H:$N,""))</f>
        <v>1</v>
      </c>
      <c r="H138" s="108" t="str">
        <f>_xlfn.CONCAT(_xlfn.XLOOKUP("[S06_InstallationsVerificationReportsIssueDetail]["&amp;1+ROW(B138)-ROW($B$133)&amp;"][NumberOfIssues]",Submission!$O:$O,Submission!$H:$N,""))</f>
        <v>1</v>
      </c>
      <c r="I138" s="183" t="str">
        <f>_xlfn.CONCAT(_xlfn.XLOOKUP("[S06_InstallationsVerificationReportsIssueDetail]["&amp;1+ROW(B138)-ROW($B$133)&amp;"][ShareOfReportsConservativeEstimate]",Submission!$O:$O,Submission!$H:$N,""))</f>
        <v>0</v>
      </c>
    </row>
    <row r="139" spans="1:9" ht="26.4" customHeight="1" x14ac:dyDescent="0.3">
      <c r="A139" s="13"/>
      <c r="C139" s="281" t="str">
        <f>_xlfn.CONCAT(_xlfn.XLOOKUP("[S06_InstallationsVerificationReportsIssueDetail]["&amp;1+ROW(B139)-ROW($B$133)&amp;"][AnnexIActivity]",Submission!$O:$O,Submission!$H:$N,""))</f>
        <v/>
      </c>
      <c r="D139" s="347"/>
      <c r="E139" s="281" t="str">
        <f>_xlfn.CONCAT(_xlfn.XLOOKUP("[S06_InstallationsVerificationReportsIssueDetail]["&amp;1+ROW(B139)-ROW($B$133)&amp;"][TypeOfIssue]",Submission!$O:$O,Submission!$H:$N,""))</f>
        <v/>
      </c>
      <c r="F139" s="347"/>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3" t="str">
        <f>_xlfn.CONCAT(_xlfn.XLOOKUP("[S06_InstallationsVerificationReportsIssueDetail]["&amp;1+ROW(B139)-ROW($B$133)&amp;"][ShareOfReportsConservativeEstimate]",Submission!$O:$O,Submission!$H:$N,""))</f>
        <v/>
      </c>
    </row>
    <row r="140" spans="1:9" ht="26.4" customHeight="1" x14ac:dyDescent="0.3">
      <c r="A140" s="13"/>
      <c r="C140" s="281" t="str">
        <f>_xlfn.CONCAT(_xlfn.XLOOKUP("[S06_InstallationsVerificationReportsIssueDetail]["&amp;1+ROW(B140)-ROW($B$133)&amp;"][AnnexIActivity]",Submission!$O:$O,Submission!$H:$N,""))</f>
        <v/>
      </c>
      <c r="D140" s="347"/>
      <c r="E140" s="281" t="str">
        <f>_xlfn.CONCAT(_xlfn.XLOOKUP("[S06_InstallationsVerificationReportsIssueDetail]["&amp;1+ROW(B140)-ROW($B$133)&amp;"][TypeOfIssue]",Submission!$O:$O,Submission!$H:$N,""))</f>
        <v/>
      </c>
      <c r="F140" s="347"/>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3" t="str">
        <f>_xlfn.CONCAT(_xlfn.XLOOKUP("[S06_InstallationsVerificationReportsIssueDetail]["&amp;1+ROW(B140)-ROW($B$133)&amp;"][ShareOfReportsConservativeEstimate]",Submission!$O:$O,Submission!$H:$N,""))</f>
        <v/>
      </c>
    </row>
    <row r="141" spans="1:9" ht="26.4" customHeight="1" x14ac:dyDescent="0.3">
      <c r="A141" s="13"/>
      <c r="C141" s="281" t="str">
        <f>_xlfn.CONCAT(_xlfn.XLOOKUP("[S06_InstallationsVerificationReportsIssueDetail]["&amp;1+ROW(B141)-ROW($B$133)&amp;"][AnnexIActivity]",Submission!$O:$O,Submission!$H:$N,""))</f>
        <v/>
      </c>
      <c r="D141" s="347"/>
      <c r="E141" s="281" t="str">
        <f>_xlfn.CONCAT(_xlfn.XLOOKUP("[S06_InstallationsVerificationReportsIssueDetail]["&amp;1+ROW(B141)-ROW($B$133)&amp;"][TypeOfIssue]",Submission!$O:$O,Submission!$H:$N,""))</f>
        <v/>
      </c>
      <c r="F141" s="347"/>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3" t="str">
        <f>_xlfn.CONCAT(_xlfn.XLOOKUP("[S06_InstallationsVerificationReportsIssueDetail]["&amp;1+ROW(B141)-ROW($B$133)&amp;"][ShareOfReportsConservativeEstimate]",Submission!$O:$O,Submission!$H:$N,""))</f>
        <v/>
      </c>
    </row>
    <row r="142" spans="1:9" ht="26.4" customHeight="1" x14ac:dyDescent="0.3">
      <c r="A142" s="13"/>
      <c r="C142" s="281" t="str">
        <f>_xlfn.CONCAT(_xlfn.XLOOKUP("[S06_InstallationsVerificationReportsIssueDetail]["&amp;1+ROW(B142)-ROW($B$133)&amp;"][AnnexIActivity]",Submission!$O:$O,Submission!$H:$N,""))</f>
        <v/>
      </c>
      <c r="D142" s="347"/>
      <c r="E142" s="281" t="str">
        <f>_xlfn.CONCAT(_xlfn.XLOOKUP("[S06_InstallationsVerificationReportsIssueDetail]["&amp;1+ROW(B142)-ROW($B$133)&amp;"][TypeOfIssue]",Submission!$O:$O,Submission!$H:$N,""))</f>
        <v/>
      </c>
      <c r="F142" s="347"/>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3" t="str">
        <f>_xlfn.CONCAT(_xlfn.XLOOKUP("[S06_InstallationsVerificationReportsIssueDetail]["&amp;1+ROW(B142)-ROW($B$133)&amp;"][ShareOfReportsConservativeEstimate]",Submission!$O:$O,Submission!$H:$N,""))</f>
        <v/>
      </c>
    </row>
    <row r="143" spans="1:9" ht="26.4" customHeight="1" x14ac:dyDescent="0.3">
      <c r="A143" s="13"/>
      <c r="C143" s="281" t="str">
        <f>_xlfn.CONCAT(_xlfn.XLOOKUP("[S06_InstallationsVerificationReportsIssueDetail]["&amp;1+ROW(B143)-ROW($B$133)&amp;"][AnnexIActivity]",Submission!$O:$O,Submission!$H:$N,""))</f>
        <v/>
      </c>
      <c r="D143" s="347"/>
      <c r="E143" s="281" t="str">
        <f>_xlfn.CONCAT(_xlfn.XLOOKUP("[S06_InstallationsVerificationReportsIssueDetail]["&amp;1+ROW(B143)-ROW($B$133)&amp;"][TypeOfIssue]",Submission!$O:$O,Submission!$H:$N,""))</f>
        <v/>
      </c>
      <c r="F143" s="347"/>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3" t="str">
        <f>_xlfn.CONCAT(_xlfn.XLOOKUP("[S06_InstallationsVerificationReportsIssueDetail]["&amp;1+ROW(B143)-ROW($B$133)&amp;"][ShareOfReportsConservativeEstimate]",Submission!$O:$O,Submission!$H:$N,""))</f>
        <v/>
      </c>
    </row>
    <row r="144" spans="1:9" ht="26.4" customHeight="1" x14ac:dyDescent="0.3">
      <c r="A144" s="13"/>
      <c r="C144" s="281" t="str">
        <f>_xlfn.CONCAT(_xlfn.XLOOKUP("[S06_InstallationsVerificationReportsIssueDetail]["&amp;1+ROW(B144)-ROW($B$133)&amp;"][AnnexIActivity]",Submission!$O:$O,Submission!$H:$N,""))</f>
        <v/>
      </c>
      <c r="D144" s="347"/>
      <c r="E144" s="281" t="str">
        <f>_xlfn.CONCAT(_xlfn.XLOOKUP("[S06_InstallationsVerificationReportsIssueDetail]["&amp;1+ROW(B144)-ROW($B$133)&amp;"][TypeOfIssue]",Submission!$O:$O,Submission!$H:$N,""))</f>
        <v/>
      </c>
      <c r="F144" s="347"/>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3" t="str">
        <f>_xlfn.CONCAT(_xlfn.XLOOKUP("[S06_InstallationsVerificationReportsIssueDetail]["&amp;1+ROW(B144)-ROW($B$133)&amp;"][ShareOfReportsConservativeEstimate]",Submission!$O:$O,Submission!$H:$N,""))</f>
        <v/>
      </c>
    </row>
    <row r="145" spans="1:9" ht="26.4" customHeight="1" x14ac:dyDescent="0.3">
      <c r="A145" s="13"/>
      <c r="C145" s="281" t="str">
        <f>_xlfn.CONCAT(_xlfn.XLOOKUP("[S06_InstallationsVerificationReportsIssueDetail]["&amp;1+ROW(B145)-ROW($B$133)&amp;"][AnnexIActivity]",Submission!$O:$O,Submission!$H:$N,""))</f>
        <v/>
      </c>
      <c r="D145" s="347"/>
      <c r="E145" s="281" t="str">
        <f>_xlfn.CONCAT(_xlfn.XLOOKUP("[S06_InstallationsVerificationReportsIssueDetail]["&amp;1+ROW(B145)-ROW($B$133)&amp;"][TypeOfIssue]",Submission!$O:$O,Submission!$H:$N,""))</f>
        <v/>
      </c>
      <c r="F145" s="347"/>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3" t="str">
        <f>_xlfn.CONCAT(_xlfn.XLOOKUP("[S06_InstallationsVerificationReportsIssueDetail]["&amp;1+ROW(B145)-ROW($B$133)&amp;"][ShareOfReportsConservativeEstimate]",Submission!$O:$O,Submission!$H:$N,""))</f>
        <v/>
      </c>
    </row>
    <row r="146" spans="1:9" ht="26.4" customHeight="1" x14ac:dyDescent="0.3">
      <c r="A146" s="13"/>
      <c r="C146" s="281" t="str">
        <f>_xlfn.CONCAT(_xlfn.XLOOKUP("[S06_InstallationsVerificationReportsIssueDetail]["&amp;1+ROW(B146)-ROW($B$133)&amp;"][AnnexIActivity]",Submission!$O:$O,Submission!$H:$N,""))</f>
        <v/>
      </c>
      <c r="D146" s="347"/>
      <c r="E146" s="281" t="str">
        <f>_xlfn.CONCAT(_xlfn.XLOOKUP("[S06_InstallationsVerificationReportsIssueDetail]["&amp;1+ROW(B146)-ROW($B$133)&amp;"][TypeOfIssue]",Submission!$O:$O,Submission!$H:$N,""))</f>
        <v/>
      </c>
      <c r="F146" s="347"/>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3" t="str">
        <f>_xlfn.CONCAT(_xlfn.XLOOKUP("[S06_InstallationsVerificationReportsIssueDetail]["&amp;1+ROW(B146)-ROW($B$133)&amp;"][ShareOfReportsConservativeEstimate]",Submission!$O:$O,Submission!$H:$N,""))</f>
        <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1</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1</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1</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1</v>
      </c>
      <c r="H232" s="251" t="str">
        <f>_xlfn.CONCAT(_xlfn.XLOOKUP("[S06_InstallationsVerificationReportChecksDetail1][4][FurtherInformation]",Submission!$O:$O,Submission!$H:$N,""))</f>
        <v>All emission reports were checked against previous emissions reported.</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1</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All reports were analysed in detail.</v>
      </c>
    </row>
    <row r="234" spans="1:9" s="58" customFormat="1" ht="27.6" customHeight="1" x14ac:dyDescent="0.3">
      <c r="C234" s="246" t="s">
        <v>1057</v>
      </c>
      <c r="D234" s="283"/>
      <c r="E234" s="283"/>
      <c r="F234" s="239"/>
      <c r="G234" s="135" t="str">
        <f>_xlfn.CONCAT(_xlfn.XLOOKUP("[S06_InstallationsVerificationReportChecksDetail2][1][NumberOfReports]",Submission!$O:$O,Submission!$H:$N,""))</f>
        <v>0</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0</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not applicable</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not applicable</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No</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No</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Yes</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COVID-19 pandemic</v>
      </c>
      <c r="D276" s="425" t="str">
        <f>_xlfn.CONCAT(_xlfn.XLOOKUP("[S06_VirtualVisitsInstallationsDetails][1][NumberOfInstallationsVV]",Submission!$O:$O,Submission!$H:$N,""))</f>
        <v>4</v>
      </c>
      <c r="E276" s="426"/>
      <c r="F276" s="284" t="str">
        <f>_xlfn.CONCAT(_xlfn.XLOOKUP("[S06_VirtualVisitsInstallationsDetails][1][AuthorityApproval]",Submission!$O:$O,Submission!$H:$N,""))</f>
        <v>Approval by competent authority</v>
      </c>
      <c r="G276" s="285"/>
      <c r="H276" s="284" t="str">
        <f>_xlfn.CONCAT(_xlfn.XLOOKUP("[S06_VirtualVisitsInstallationsDetails][1][ConfirmationConditionsMet]",Submission!$O:$O,Submission!$H:$N,""))</f>
        <v>Yes</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0</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Yes</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Recommendations for improvement</v>
      </c>
      <c r="D332" s="413"/>
      <c r="E332" s="414"/>
      <c r="F332" s="132" t="str">
        <f>_xlfn.CONCAT(_xlfn.XLOOKUP("[S06_AircraftOperatorsVerificationReportIssuesEmissions][1][NumberOfAircraftOperators]",Submission!$O:$O,Submission!$H:$N,""))</f>
        <v>1</v>
      </c>
      <c r="G332" s="132" t="str">
        <f>_xlfn.CONCAT(_xlfn.XLOOKUP("[S06_AircraftOperatorsVerificationReportIssuesEmissions][1][NumberOfIssues]",Submission!$O:$O,Submission!$H:$N,""))</f>
        <v>1</v>
      </c>
      <c r="H332" s="429" t="str">
        <f>_xlfn.CONCAT(_xlfn.XLOOKUP("[S06_AircraftOperatorsVerificationReportIssuesEmissions][1][ShareOfReportsConservativeEstimate]",Submission!$O:$O,Submission!$H:$N,""))</f>
        <v>0</v>
      </c>
      <c r="I332" s="430"/>
    </row>
    <row r="333" spans="1:9" ht="15.9" customHeight="1" x14ac:dyDescent="0.3">
      <c r="A333" s="12"/>
      <c r="B333" s="23"/>
      <c r="C333" s="412" t="str">
        <f>_xlfn.CONCAT(_xlfn.XLOOKUP("[S06_AircraftOperatorsVerificationReportIssuesEmissions][2][TypeOfIssue]",Submission!$O:$O,Submission!$H:$N,""))</f>
        <v/>
      </c>
      <c r="D333" s="413"/>
      <c r="E333" s="414"/>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29" t="str">
        <f>_xlfn.CONCAT(_xlfn.XLOOKUP("[S06_AircraftOperatorsVerificationReportIssuesEmissions][2][ShareOfReportsConservativeEstimate]",Submission!$O:$O,Submission!$H:$N,""))</f>
        <v/>
      </c>
      <c r="I333" s="430"/>
    </row>
    <row r="334" spans="1:9" ht="15.9" hidden="1" customHeight="1" outlineLevel="1" x14ac:dyDescent="0.3">
      <c r="A334" s="12"/>
      <c r="B334" s="23"/>
      <c r="C334" s="412" t="str">
        <f>_xlfn.CONCAT(_xlfn.XLOOKUP("[S06_AircraftOperatorsVerificationReportIssuesEmissions][3][TypeOfIssue]",Submission!$O:$O,Submission!$H:$N,""))</f>
        <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Yes</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1</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1</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1</v>
      </c>
      <c r="H354" s="251" t="str">
        <f>_xlfn.CONCAT(_xlfn.XLOOKUP("[S06_AircraftOperatorsVerificationEmissionReportChecks1][3][FurtherInformation]",Submission!$O:$O,Submission!$H:$N,""))</f>
        <v>Emission report was checked against previous emissions reported.</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Other please specify</v>
      </c>
      <c r="I355" s="130" t="str">
        <f>_xlfn.CONCAT(_xlfn.XLOOKUP("[S06_AircraftOperatorsVerificationEmissionReportChecks1][4][FurtherInformation]",Submission!$O:$O,Submission!$H:$N,""))</f>
        <v>Only one report was submitted and it was analysed in detail.</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0</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not applicable</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not applicable</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No</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No</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
      </c>
      <c r="D383" s="341" t="str">
        <f>_xlfn.CONCAT(_xlfn.XLOOKUP("[S06_VirtualVisitsAircraftDetails][1][NumberOfAirOperatorsVV]",Submission!$O:$O,Submission!$H:$N,""))</f>
        <v/>
      </c>
      <c r="E383" s="356"/>
      <c r="F383" s="284" t="str">
        <f>_xlfn.CONCAT(_xlfn.XLOOKUP("[S06_VirtualVisitsAircraftDetails][1][AuthorityApproval]",Submission!$O:$O,Submission!$H:$N,""))</f>
        <v/>
      </c>
      <c r="G383" s="285"/>
      <c r="H383" s="284" t="str">
        <f>_xlfn.CONCAT(_xlfn.XLOOKUP("[S06_VirtualVisitsAircraftDetails][1][ConfirmationConditionsMet]",Submission!$O:$O,Submission!$H:$N,""))</f>
        <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2023-05-30T00:37:13Z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