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438E95FE-CE77-48AA-A7F5-70930276951B}"/>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203" i="43" l="1"/>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E11" i="29" s="1"/>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G1309" i="10"/>
  <c r="F1308" i="10"/>
  <c r="I4731" i="40" s="1"/>
  <c r="E1307" i="10"/>
  <c r="G4633" i="40" s="1"/>
  <c r="D1306" i="10"/>
  <c r="G4535" i="40" s="1"/>
  <c r="C1305" i="10"/>
  <c r="K4437" i="40" s="1"/>
  <c r="I1303" i="10"/>
  <c r="G5017" i="40" s="1"/>
  <c r="H1302" i="10"/>
  <c r="G1301" i="10"/>
  <c r="F1300" i="10"/>
  <c r="I4723" i="40" s="1"/>
  <c r="E1299" i="10"/>
  <c r="D1298" i="10"/>
  <c r="G4527" i="40" s="1"/>
  <c r="C1297" i="10"/>
  <c r="K4429" i="40" s="1"/>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I4830" i="40" s="1"/>
  <c r="F1309" i="10"/>
  <c r="I4732" i="40" s="1"/>
  <c r="E1308" i="10"/>
  <c r="G4634" i="40" s="1"/>
  <c r="D1307" i="10"/>
  <c r="C1306" i="10"/>
  <c r="K4438" i="40" s="1"/>
  <c r="I1304" i="10"/>
  <c r="G5018" i="40" s="1"/>
  <c r="H1303" i="10"/>
  <c r="G1302" i="10"/>
  <c r="I4822" i="40" s="1"/>
  <c r="F1301" i="10"/>
  <c r="I4724" i="40" s="1"/>
  <c r="E1300" i="10"/>
  <c r="G4626" i="40" s="1"/>
  <c r="D1299" i="10"/>
  <c r="G4528" i="40" s="1"/>
  <c r="C1298" i="10"/>
  <c r="I1296" i="10"/>
  <c r="G5010" i="40" s="1"/>
  <c r="H1295" i="10"/>
  <c r="G1294" i="10"/>
  <c r="I4814" i="40" s="1"/>
  <c r="F1293" i="10"/>
  <c r="E1292" i="10"/>
  <c r="G4618" i="40" s="1"/>
  <c r="D1291" i="10"/>
  <c r="G4520" i="40" s="1"/>
  <c r="C1290" i="10"/>
  <c r="K4422" i="40" s="1"/>
  <c r="I1288" i="10"/>
  <c r="H1287" i="10"/>
  <c r="K4904" i="40" s="1"/>
  <c r="G1286" i="10"/>
  <c r="F1285" i="10"/>
  <c r="I4708" i="40" s="1"/>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K4929" i="40" s="1"/>
  <c r="G1311" i="10"/>
  <c r="F1310" i="10"/>
  <c r="I4733" i="40" s="1"/>
  <c r="E1309" i="10"/>
  <c r="G4635" i="40" s="1"/>
  <c r="D1308" i="10"/>
  <c r="G4537" i="40" s="1"/>
  <c r="C1307" i="10"/>
  <c r="I1305" i="10"/>
  <c r="H1304" i="10"/>
  <c r="G1303" i="10"/>
  <c r="F1302" i="10"/>
  <c r="I4725" i="40" s="1"/>
  <c r="E1301" i="10"/>
  <c r="G4627" i="40" s="1"/>
  <c r="D1300" i="10"/>
  <c r="G4529" i="40" s="1"/>
  <c r="C1299" i="10"/>
  <c r="K4431" i="40" s="1"/>
  <c r="I1297" i="10"/>
  <c r="H1296" i="10"/>
  <c r="K4913" i="40" s="1"/>
  <c r="G1295" i="10"/>
  <c r="F1294" i="10"/>
  <c r="I4717" i="40" s="1"/>
  <c r="E1293" i="10"/>
  <c r="D1292" i="10"/>
  <c r="G4521" i="40" s="1"/>
  <c r="C1291" i="10"/>
  <c r="K4423" i="40" s="1"/>
  <c r="I1289" i="10"/>
  <c r="G5003" i="40" s="1"/>
  <c r="H1288" i="10"/>
  <c r="G1287" i="10"/>
  <c r="F1286" i="10"/>
  <c r="E1285" i="10"/>
  <c r="G4611" i="40" s="1"/>
  <c r="D1284" i="10"/>
  <c r="G4513" i="40" s="1"/>
  <c r="C1283" i="10"/>
  <c r="K4415" i="40" s="1"/>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G5028" i="40" s="1"/>
  <c r="H1313" i="10"/>
  <c r="K4930" i="40" s="1"/>
  <c r="G1312" i="10"/>
  <c r="I4832" i="40" s="1"/>
  <c r="F1311" i="10"/>
  <c r="I4734" i="40" s="1"/>
  <c r="E1310" i="10"/>
  <c r="G4636" i="40" s="1"/>
  <c r="D1309" i="10"/>
  <c r="C1308" i="10"/>
  <c r="K4440" i="40" s="1"/>
  <c r="I1306" i="10"/>
  <c r="H1305" i="10"/>
  <c r="K4922" i="40" s="1"/>
  <c r="G1304" i="10"/>
  <c r="F1303" i="10"/>
  <c r="I4726" i="40" s="1"/>
  <c r="E1302" i="10"/>
  <c r="G4628" i="40" s="1"/>
  <c r="D1301" i="10"/>
  <c r="G4530" i="40" s="1"/>
  <c r="C1300" i="10"/>
  <c r="I1298" i="10"/>
  <c r="G5012" i="40" s="1"/>
  <c r="H1297" i="10"/>
  <c r="K4914" i="40" s="1"/>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D1302" i="10"/>
  <c r="G4531" i="40" s="1"/>
  <c r="C1301" i="10"/>
  <c r="K4433" i="40" s="1"/>
  <c r="I1299" i="10"/>
  <c r="G5013" i="40" s="1"/>
  <c r="H1298" i="10"/>
  <c r="K4915" i="40" s="1"/>
  <c r="G1297" i="10"/>
  <c r="I4817" i="40" s="1"/>
  <c r="F1296" i="10"/>
  <c r="I4719" i="40" s="1"/>
  <c r="E1295" i="10"/>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G1290" i="10"/>
  <c r="F1289" i="10"/>
  <c r="I4712" i="40" s="1"/>
  <c r="E1288" i="10"/>
  <c r="G4614" i="40" s="1"/>
  <c r="D1287" i="10"/>
  <c r="G4516" i="40" s="1"/>
  <c r="C1286" i="10"/>
  <c r="K4418" i="40" s="1"/>
  <c r="I1284" i="10"/>
  <c r="H1283" i="10"/>
  <c r="K4900" i="40" s="1"/>
  <c r="G1282" i="10"/>
  <c r="F1281" i="10"/>
  <c r="I4704" i="40" s="1"/>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I1309" i="10"/>
  <c r="H1308" i="10"/>
  <c r="G1307" i="10"/>
  <c r="I4827" i="40" s="1"/>
  <c r="F1306" i="10"/>
  <c r="I4729" i="40" s="1"/>
  <c r="E1305" i="10"/>
  <c r="G4631" i="40" s="1"/>
  <c r="D1304" i="10"/>
  <c r="G4533" i="40" s="1"/>
  <c r="C1303" i="10"/>
  <c r="K4435" i="40" s="1"/>
  <c r="I1301" i="10"/>
  <c r="H1300" i="10"/>
  <c r="K4917" i="40" s="1"/>
  <c r="G1299" i="10"/>
  <c r="F1298" i="10"/>
  <c r="I4721" i="40" s="1"/>
  <c r="E1297" i="10"/>
  <c r="G4623" i="40" s="1"/>
  <c r="D1296" i="10"/>
  <c r="G4525" i="40" s="1"/>
  <c r="C1295" i="10"/>
  <c r="K4427" i="40" s="1"/>
  <c r="I1293" i="10"/>
  <c r="G5007" i="40" s="1"/>
  <c r="H1292" i="10"/>
  <c r="G1291" i="10"/>
  <c r="I4811" i="40" s="1"/>
  <c r="F1290" i="10"/>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D1297" i="10"/>
  <c r="G4526" i="40" s="1"/>
  <c r="C1292" i="10"/>
  <c r="C1289" i="10"/>
  <c r="K4421" i="40" s="1"/>
  <c r="H1285" i="10"/>
  <c r="K4902" i="40" s="1"/>
  <c r="I1282" i="10"/>
  <c r="E1280" i="10"/>
  <c r="G4606" i="40" s="1"/>
  <c r="H1278" i="10"/>
  <c r="K4895" i="40" s="1"/>
  <c r="E1277" i="10"/>
  <c r="D1276" i="10"/>
  <c r="G4505" i="40" s="1"/>
  <c r="C1275" i="10"/>
  <c r="I1273" i="10"/>
  <c r="H1272" i="10"/>
  <c r="K4889" i="40" s="1"/>
  <c r="G1271" i="10"/>
  <c r="I4791" i="40" s="1"/>
  <c r="F1270" i="10"/>
  <c r="I4693" i="40" s="1"/>
  <c r="E1269" i="10"/>
  <c r="G4595" i="40" s="1"/>
  <c r="D1268" i="10"/>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G4534" i="40" s="1"/>
  <c r="C1296" i="10"/>
  <c r="F1291" i="10"/>
  <c r="G1288" i="10"/>
  <c r="I4808" i="40" s="1"/>
  <c r="G1285" i="10"/>
  <c r="I4805" i="40" s="1"/>
  <c r="E1282" i="10"/>
  <c r="G4608" i="40" s="1"/>
  <c r="C1280" i="10"/>
  <c r="K4412" i="40" s="1"/>
  <c r="G1278" i="10"/>
  <c r="D1277" i="10"/>
  <c r="G4506" i="40" s="1"/>
  <c r="C1276" i="10"/>
  <c r="I1274" i="10"/>
  <c r="G4988" i="40" s="1"/>
  <c r="H1273" i="10"/>
  <c r="K4890" i="40" s="1"/>
  <c r="G1272" i="10"/>
  <c r="I4792" i="40" s="1"/>
  <c r="F1271" i="10"/>
  <c r="I4694" i="40" s="1"/>
  <c r="E1270" i="10"/>
  <c r="G4596" i="40" s="1"/>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D1285" i="10"/>
  <c r="D1282" i="10"/>
  <c r="G4511" i="40" s="1"/>
  <c r="I1279" i="10"/>
  <c r="G4993" i="40" s="1"/>
  <c r="E1278" i="10"/>
  <c r="G4604" i="40" s="1"/>
  <c r="C1277" i="10"/>
  <c r="I1275" i="10"/>
  <c r="H1274" i="10"/>
  <c r="K4891" i="40" s="1"/>
  <c r="G1273" i="10"/>
  <c r="F1272" i="10"/>
  <c r="I4695" i="40" s="1"/>
  <c r="E1271" i="10"/>
  <c r="G4597" i="40" s="1"/>
  <c r="D1270" i="10"/>
  <c r="G4499" i="40" s="1"/>
  <c r="C1269" i="10"/>
  <c r="K4401" i="40" s="1"/>
  <c r="I1267" i="10"/>
  <c r="G4981" i="40" s="1"/>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G5004" i="40" s="1"/>
  <c r="I1287" i="10"/>
  <c r="G5001" i="40" s="1"/>
  <c r="G1284" i="10"/>
  <c r="I4804" i="40" s="1"/>
  <c r="H1281" i="10"/>
  <c r="H1279" i="10"/>
  <c r="K4896" i="40" s="1"/>
  <c r="D1278" i="10"/>
  <c r="I1276" i="10"/>
  <c r="H1275" i="10"/>
  <c r="K4892" i="40" s="1"/>
  <c r="G1274" i="10"/>
  <c r="I4794" i="40" s="1"/>
  <c r="F1273" i="10"/>
  <c r="I4696" i="40" s="1"/>
  <c r="E1272" i="10"/>
  <c r="G4598" i="40" s="1"/>
  <c r="D1271" i="10"/>
  <c r="C1270" i="10"/>
  <c r="K4402" i="40" s="1"/>
  <c r="I1268" i="10"/>
  <c r="H1267" i="10"/>
  <c r="K4884" i="40" s="1"/>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G4510" i="40" s="1"/>
  <c r="F1279" i="10"/>
  <c r="C1278" i="10"/>
  <c r="K4410" i="40" s="1"/>
  <c r="H1276" i="10"/>
  <c r="K4893" i="40" s="1"/>
  <c r="G1275" i="10"/>
  <c r="I4795" i="40" s="1"/>
  <c r="F1274" i="10"/>
  <c r="I4697" i="40" s="1"/>
  <c r="E1273" i="10"/>
  <c r="D1272" i="10"/>
  <c r="G4501" i="40" s="1"/>
  <c r="C1271" i="10"/>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H1277" i="10"/>
  <c r="K4894" i="40" s="1"/>
  <c r="G1276" i="10"/>
  <c r="I4796" i="40" s="1"/>
  <c r="F1275" i="10"/>
  <c r="I4698" i="40" s="1"/>
  <c r="E1274" i="10"/>
  <c r="G4600" i="40" s="1"/>
  <c r="D1273" i="10"/>
  <c r="G4502" i="40" s="1"/>
  <c r="C1272" i="10"/>
  <c r="K4404" i="40" s="1"/>
  <c r="I1270" i="10"/>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G1292" i="10"/>
  <c r="H1289" i="10"/>
  <c r="H1286" i="10"/>
  <c r="K4903" i="40" s="1"/>
  <c r="F1283" i="10"/>
  <c r="I4706" i="40" s="1"/>
  <c r="G1280" i="10"/>
  <c r="I4800" i="40" s="1"/>
  <c r="D1279" i="10"/>
  <c r="G1277" i="10"/>
  <c r="I4797" i="40" s="1"/>
  <c r="F1276" i="10"/>
  <c r="E1275" i="10"/>
  <c r="G4601" i="40" s="1"/>
  <c r="D1274" i="10"/>
  <c r="G4503" i="40" s="1"/>
  <c r="C1273" i="10"/>
  <c r="K4405" i="40" s="1"/>
  <c r="I1271" i="10"/>
  <c r="G4985" i="40" s="1"/>
  <c r="H1270" i="10"/>
  <c r="K4887" i="40" s="1"/>
  <c r="G1269" i="10"/>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I4730" i="40" s="1"/>
  <c r="E1298" i="10"/>
  <c r="G4624" i="40" s="1"/>
  <c r="F1292" i="10"/>
  <c r="D1289" i="10"/>
  <c r="E1286" i="10"/>
  <c r="G4612" i="40" s="1"/>
  <c r="E1283" i="10"/>
  <c r="G4609" i="40" s="1"/>
  <c r="F1280" i="10"/>
  <c r="I4703" i="40" s="1"/>
  <c r="I1278" i="10"/>
  <c r="G4992" i="40" s="1"/>
  <c r="F1277" i="10"/>
  <c r="I4700" i="40" s="1"/>
  <c r="E1276" i="10"/>
  <c r="G4602" i="40" s="1"/>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AK29" i="8"/>
  <c r="AK28" i="8"/>
  <c r="AK39" i="8"/>
  <c r="K4448" i="40"/>
  <c r="G4984" i="40"/>
  <c r="K4403" i="40"/>
  <c r="G4500" i="40"/>
  <c r="G4599" i="40"/>
  <c r="I4793" i="40"/>
  <c r="G4987" i="40"/>
  <c r="K4407" i="40"/>
  <c r="G4989" i="40"/>
  <c r="K4408" i="40"/>
  <c r="I4699" i="40"/>
  <c r="G4990" i="40"/>
  <c r="K4409" i="40"/>
  <c r="G4603" i="40"/>
  <c r="G4507" i="40"/>
  <c r="I4701" i="40"/>
  <c r="I4798" i="40"/>
  <c r="G4508" i="40"/>
  <c r="G4605" i="40"/>
  <c r="I4702" i="40"/>
  <c r="K4898" i="40"/>
  <c r="I4802" i="40"/>
  <c r="K4899" i="40"/>
  <c r="G4996" i="40"/>
  <c r="I4803" i="40"/>
  <c r="G4997" i="40"/>
  <c r="G4610" i="40"/>
  <c r="G4998" i="40"/>
  <c r="G4514" i="40"/>
  <c r="G4515" i="40"/>
  <c r="I4709" i="40"/>
  <c r="I4806" i="40"/>
  <c r="I4710" i="40"/>
  <c r="I4807" i="40"/>
  <c r="K4420" i="40"/>
  <c r="K4905" i="40"/>
  <c r="G5002" i="40"/>
  <c r="G4518" i="40"/>
  <c r="K4906" i="40"/>
  <c r="I4713" i="40"/>
  <c r="I4810" i="40"/>
  <c r="K4907" i="40"/>
  <c r="G4617" i="40"/>
  <c r="I4714" i="40"/>
  <c r="K4908" i="40"/>
  <c r="G5005" i="40"/>
  <c r="K4424" i="40"/>
  <c r="I4715" i="40"/>
  <c r="I4812" i="40"/>
  <c r="K4909" i="40"/>
  <c r="K4425" i="40"/>
  <c r="G4619" i="40"/>
  <c r="I4716" i="40"/>
  <c r="K4426" i="40"/>
  <c r="G4621" i="40"/>
  <c r="I4815" i="40"/>
  <c r="K4912" i="40"/>
  <c r="K4428" i="40"/>
  <c r="G5011" i="40"/>
  <c r="K4430" i="40"/>
  <c r="G4625" i="40"/>
  <c r="I4722" i="40"/>
  <c r="I4819" i="40"/>
  <c r="K4432" i="40"/>
  <c r="G5014" i="40"/>
  <c r="I4821" i="40"/>
  <c r="G5015" i="40"/>
  <c r="K4919" i="40"/>
  <c r="G4532" i="40"/>
  <c r="G4629" i="40"/>
  <c r="I4823" i="40"/>
  <c r="K4920" i="40"/>
  <c r="I4824" i="40"/>
  <c r="K4921" i="40"/>
  <c r="G5019" i="40"/>
  <c r="G4632" i="40"/>
  <c r="G5020" i="40"/>
  <c r="K4439" i="40"/>
  <c r="G4536" i="40"/>
  <c r="K4925" i="40"/>
  <c r="G4538" i="40"/>
  <c r="I4829" i="40"/>
  <c r="G5023" i="40"/>
  <c r="K4442" i="40"/>
  <c r="K4927" i="40"/>
  <c r="K4443" i="40"/>
  <c r="G4637" i="40"/>
  <c r="I4831" i="40"/>
  <c r="K4444" i="40"/>
  <c r="G4638" i="40"/>
  <c r="G5027" i="40"/>
  <c r="K4446" i="40"/>
  <c r="G4640" i="40"/>
  <c r="G4545" i="40"/>
  <c r="G4642" i="40"/>
  <c r="G4496" i="40"/>
  <c r="G4593" i="40"/>
  <c r="K4400" i="40"/>
  <c r="G4497" i="40"/>
  <c r="I4788" i="40"/>
  <c r="G4982" i="40"/>
  <c r="G4498" i="40"/>
  <c r="I4789" i="40"/>
  <c r="AK23" i="8" l="1"/>
  <c r="AK27" i="8"/>
  <c r="J8467" i="40"/>
  <c r="J8477" i="40"/>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<sst xmlns="http://schemas.openxmlformats.org/spreadsheetml/2006/main" count="63606" uniqueCount="2434">
  <si>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</si>
  <si>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</si>
  <si>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</si>
  <si>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</si>
  <si>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</si>
  <si>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</si>
  <si>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</si>
  <si>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</si>
  <si>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</si>
  <si>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</si>
  <si>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</si>
  <si>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</si>
  <si>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</si>
  <si>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</si>
  <si>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</si>
  <si>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</si>
  <si>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</si>
  <si>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</si>
  <si>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</si>
  <si>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</si>
  <si>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</si>
  <si>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</si>
  <si>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</si>
  <si>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</si>
  <si>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</si>
  <si>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</si>
  <si>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</si>
  <si>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</si>
  <si>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</si>
  <si>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</si>
  <si>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</si>
  <si>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</si>
  <si>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</si>
  <si>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</si>
  <si>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</si>
  <si>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</si>
  <si>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</si>
  <si>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</si>
  <si>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</si>
  <si>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</si>
  <si>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</si>
  <si>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</si>
  <si>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</si>
  <si>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</si>
  <si>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</si>
  <si>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</si>
  <si>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</si>
  <si>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</si>
  <si>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</si>
  <si>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</si>
  <si>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</si>
  <si>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</si>
  <si>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</si>
  <si>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</si>
  <si>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</si>
  <si>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</si>
  <si>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</si>
  <si>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</si>
  <si>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</si>
  <si>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</si>
  <si>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</si>
  <si>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</si>
  <si>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</si>
  <si>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</si>
  <si>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</si>
  <si>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</si>
  <si>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</si>
  <si>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</si>
  <si>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</si>
  <si>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</si>
  <si>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</si>
  <si>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</si>
  <si>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</si>
  <si>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</si>
  <si>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</si>
  <si>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</si>
  <si>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</si>
  <si>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</si>
  <si>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</si>
  <si>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</si>
  <si>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</si>
  <si>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</si>
  <si>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</si>
  <si>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</si>
  <si>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</si>
  <si>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</si>
  <si>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</si>
  <si>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</si>
  <si>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</si>
  <si>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</si>
  <si>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</si>
  <si>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</si>
  <si>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</si>
  <si>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</si>
  <si>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</si>
  <si>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</si>
  <si>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</si>
  <si>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</si>
  <si>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</si>
  <si>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</si>
  <si>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</si>
  <si>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</si>
  <si>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</si>
  <si>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</si>
  <si>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</si>
  <si>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</si>
  <si>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</si>
  <si>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</si>
  <si>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</si>
  <si>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</si>
  <si>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</si>
  <si>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</si>
  <si>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</si>
  <si>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</si>
  <si>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</si>
  <si>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</si>
  <si>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</si>
  <si>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</si>
  <si>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</si>
  <si>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</si>
  <si>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</si>
  <si>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</si>
  <si>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</si>
  <si>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</si>
  <si>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</si>
  <si>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</si>
  <si>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</si>
  <si>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</si>
  <si>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</si>
  <si>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</si>
  <si>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</si>
  <si>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</si>
  <si>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</si>
  <si>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</si>
  <si>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</si>
  <si>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</si>
  <si>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</si>
  <si>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</si>
  <si>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</si>
  <si>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</si>
  <si>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</si>
  <si>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</si>
  <si>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</si>
  <si>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</si>
  <si>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</si>
  <si>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</si>
  <si>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</si>
  <si>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</si>
  <si>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</si>
  <si>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</si>
  <si>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</si>
  <si>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</si>
  <si>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</si>
  <si>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</si>
  <si>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</si>
  <si>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</si>
  <si>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</si>
  <si>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</si>
  <si>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</si>
  <si>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</si>
  <si>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</si>
  <si>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</si>
  <si>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</si>
  <si>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</si>
  <si>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</si>
  <si>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</si>
  <si>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</si>
  <si>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</si>
  <si>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</si>
  <si>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</si>
  <si>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</si>
  <si>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</si>
  <si>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</si>
  <si>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</si>
  <si>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</si>
  <si>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</si>
  <si>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</si>
  <si>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</si>
  <si>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</si>
  <si>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</si>
  <si>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</si>
  <si>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</si>
  <si>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</si>
  <si>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</si>
  <si>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</si>
  <si>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</si>
  <si>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</si>
  <si>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</si>
  <si>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</si>
  <si>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</si>
  <si>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</si>
  <si>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</si>
  <si>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</si>
  <si>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</si>
  <si>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</si>
  <si>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</si>
  <si>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</si>
  <si>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</si>
  <si>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</si>
  <si>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</si>
  <si>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</si>
  <si>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</si>
  <si>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</si>
  <si>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</si>
  <si>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</si>
  <si>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</si>
  <si>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</si>
  <si>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</si>
  <si>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</si>
  <si>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</si>
  <si>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</si>
  <si>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</si>
  <si>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</si>
  <si>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</si>
  <si>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</si>
  <si>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</si>
  <si>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</si>
  <si>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</si>
  <si>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</si>
  <si>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</si>
  <si>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</si>
  <si>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</si>
  <si>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</si>
  <si>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</si>
  <si>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</si>
  <si>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</si>
  <si>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</si>
  <si>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</si>
  <si>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</si>
  <si>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</si>
  <si>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</si>
  <si>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</si>
  <si>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</si>
  <si>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</si>
  <si>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</si>
  <si>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</si>
  <si>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</si>
  <si>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</si>
  <si>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</si>
  <si>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</si>
  <si>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</si>
  <si>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</si>
  <si>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</si>
  <si>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</si>
  <si>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</si>
  <si>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</si>
  <si>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</si>
  <si>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</si>
  <si>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</si>
  <si>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</si>
  <si>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</si>
  <si>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</si>
  <si>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</si>
  <si>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</si>
  <si>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</si>
  <si>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</si>
  <si>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</si>
  <si>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</si>
  <si>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</si>
  <si>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</si>
  <si>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</si>
  <si>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</si>
  <si>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</si>
  <si>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</si>
  <si>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</si>
  <si>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</si>
  <si>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</si>
  <si>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</si>
  <si>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</si>
  <si>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</si>
  <si>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</si>
  <si>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</si>
  <si>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</si>
  <si>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</si>
  <si>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</si>
  <si>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</si>
  <si>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</si>
  <si>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</si>
  <si>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</si>
  <si>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</si>
  <si>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</si>
  <si>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</si>
  <si>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</si>
  <si>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</si>
  <si>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</si>
  <si>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</si>
  <si>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</si>
  <si>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</si>
  <si>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</si>
  <si>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</si>
  <si>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</si>
  <si>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</si>
  <si>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</si>
  <si>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</si>
  <si>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</si>
  <si>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</si>
  <si>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</si>
  <si>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</si>
  <si>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</si>
  <si>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</si>
  <si>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</si>
  <si>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</si>
  <si>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</si>
  <si>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</si>
  <si>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</si>
  <si>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</si>
  <si>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</si>
  <si>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</si>
  <si>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</si>
  <si>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</si>
  <si>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</si>
  <si>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</si>
  <si>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</si>
  <si>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</si>
  <si>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</si>
  <si>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</si>
  <si>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</si>
  <si>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</si>
  <si>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</si>
  <si>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</si>
  <si>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</si>
  <si>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</si>
  <si>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</si>
  <si>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</si>
  <si>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</si>
  <si>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</si>
  <si>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</si>
  <si>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</si>
  <si>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</si>
  <si>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</si>
  <si>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</si>
  <si>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</si>
  <si>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</si>
  <si>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</si>
  <si>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</si>
  <si>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</si>
  <si>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</si>
  <si>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</si>
  <si>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</si>
  <si>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</si>
  <si>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</si>
  <si>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</si>
  <si>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</si>
  <si>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</si>
  <si>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</si>
  <si>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</si>
  <si>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</si>
  <si>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</si>
  <si>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</si>
  <si>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</si>
  <si>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</si>
  <si>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</si>
  <si>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</si>
  <si>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</si>
  <si>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</si>
  <si>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</si>
  <si>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</si>
  <si>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</si>
  <si>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</si>
  <si>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</si>
  <si>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</si>
  <si>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</si>
  <si>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</si>
  <si>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</si>
  <si>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</si>
  <si>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</si>
  <si>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</si>
  <si>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</si>
  <si>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</si>
  <si>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</si>
  <si>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</si>
  <si>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</si>
  <si>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</si>
  <si>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</si>
  <si>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</si>
  <si>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</si>
  <si>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</si>
  <si>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</si>
  <si>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</si>
  <si>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</si>
  <si>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</si>
  <si>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</si>
  <si>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</si>
  <si>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</si>
  <si>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</si>
  <si>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</si>
  <si>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</si>
  <si>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</si>
  <si>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</si>
  <si>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</si>
  <si>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</si>
  <si>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</si>
  <si>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</si>
  <si>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</si>
  <si>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</si>
  <si>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</si>
  <si>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</si>
  <si>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</si>
  <si>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</si>
  <si>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</si>
  <si>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</si>
  <si>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</si>
  <si>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</si>
  <si>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</si>
  <si>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</si>
  <si>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</si>
  <si>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</si>
  <si>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</si>
  <si>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</si>
  <si>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</si>
  <si>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</si>
  <si>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</si>
  <si>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</si>
  <si>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</si>
  <si>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</si>
  <si>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</si>
  <si>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</si>
  <si>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</si>
  <si>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</si>
  <si>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</si>
  <si>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</si>
  <si>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</si>
  <si>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</si>
  <si>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</si>
  <si>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</si>
  <si>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</si>
  <si>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</si>
  <si>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</si>
  <si>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</si>
  <si>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</si>
  <si>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</si>
  <si>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</si>
  <si>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</si>
  <si>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</si>
  <si>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</si>
  <si>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</si>
  <si>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</si>
  <si>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</si>
  <si>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</si>
  <si>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</si>
  <si>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</si>
  <si>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</si>
  <si>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</si>
  <si>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</si>
  <si>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</si>
  <si>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</si>
  <si>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</si>
  <si>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</si>
  <si>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</si>
  <si>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</si>
  <si>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</si>
  <si>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</si>
  <si>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</si>
  <si>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</si>
  <si>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</si>
  <si>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</si>
  <si>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</si>
  <si>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</si>
  <si>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</si>
  <si>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</si>
  <si>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</si>
  <si>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</si>
  <si>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</si>
  <si>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</si>
  <si>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</si>
  <si>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</si>
  <si>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</si>
  <si>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</si>
  <si>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</si>
  <si>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</si>
  <si>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</si>
  <si>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</si>
  <si>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</si>
  <si>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</si>
  <si>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</si>
  <si>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</si>
  <si>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</si>
  <si>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</si>
  <si>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</si>
  <si>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</si>
  <si>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</si>
  <si>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</si>
  <si>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</si>
  <si>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</si>
  <si>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</si>
  <si>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</si>
  <si>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</si>
  <si>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</si>
  <si>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</si>
  <si>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</si>
  <si>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</si>
  <si>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</si>
  <si>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</si>
  <si>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</si>
  <si>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</si>
  <si>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</si>
  <si>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</si>
  <si>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</si>
  <si>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</si>
  <si>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</si>
  <si>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</si>
  <si>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</si>
  <si>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</si>
  <si>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</si>
  <si>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</si>
  <si>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</si>
  <si>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</si>
  <si>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</si>
  <si>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</si>
  <si>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</si>
  <si>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</si>
  <si>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</si>
  <si>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</si>
  <si>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</si>
  <si>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</si>
  <si>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</si>
  <si>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</si>
  <si>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</si>
  <si>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</si>
  <si>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</si>
  <si>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</si>
  <si>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</si>
  <si>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</si>
  <si>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</si>
  <si>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</si>
  <si>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</si>
  <si>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</si>
  <si>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</si>
  <si>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</si>
  <si>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</si>
  <si>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</si>
  <si>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</si>
  <si>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</si>
  <si>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</si>
  <si>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</si>
  <si>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</si>
  <si>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</si>
  <si>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</si>
  <si>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</si>
  <si>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</si>
  <si>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</si>
  <si>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</si>
  <si>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</si>
  <si>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</si>
  <si>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</si>
  <si>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</si>
  <si>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</si>
  <si>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</si>
  <si>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</si>
  <si>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</si>
  <si>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</si>
  <si>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</si>
  <si>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</si>
  <si>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</si>
  <si>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</si>
  <si>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</si>
  <si>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</si>
  <si>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</si>
  <si>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</si>
  <si>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</si>
  <si>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</si>
  <si>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</si>
  <si>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</si>
  <si>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</si>
  <si>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</si>
  <si>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</si>
  <si>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</si>
  <si>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</si>
  <si>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</si>
  <si>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</si>
  <si>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</si>
  <si>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</si>
  <si>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</si>
  <si>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</si>
  <si>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</si>
  <si>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</si>
  <si>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</si>
  <si>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</si>
  <si>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</si>
  <si>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</si>
  <si>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</si>
  <si>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</si>
  <si>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</si>
  <si>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</si>
  <si>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</si>
  <si>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</si>
  <si>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</si>
  <si>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</si>
  <si>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</si>
  <si>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</si>
  <si>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</si>
  <si>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</si>
  <si>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</si>
  <si>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</si>
  <si>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</si>
  <si>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</si>
  <si>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</si>
  <si>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</si>
  <si>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</si>
  <si>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</si>
  <si>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</si>
  <si>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</si>
  <si>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</si>
  <si>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</si>
  <si>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</si>
  <si>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</si>
  <si>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</si>
  <si>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</si>
  <si>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</si>
  <si>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</si>
  <si>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</si>
  <si>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</si>
  <si>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</si>
  <si>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</si>
  <si>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</si>
  <si>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</si>
  <si>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</si>
  <si>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</si>
  <si>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</si>
  <si>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</si>
  <si>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</si>
  <si>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</si>
  <si>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</si>
  <si>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</si>
  <si>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</si>
  <si>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</si>
  <si>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</si>
  <si>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</si>
  <si>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</si>
  <si>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</si>
  <si>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</si>
  <si>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</si>
  <si>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</si>
  <si>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</si>
  <si>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</si>
  <si>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</si>
  <si>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</si>
  <si>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</si>
  <si>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</si>
  <si>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</si>
  <si>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</si>
  <si>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</si>
  <si>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</si>
  <si>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</si>
  <si>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</si>
  <si>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</si>
  <si>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</si>
  <si>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</si>
  <si>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</si>
  <si>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</si>
  <si>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</si>
  <si>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</si>
  <si>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</si>
  <si>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</si>
  <si>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</si>
  <si>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</si>
  <si>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</si>
  <si>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</si>
  <si>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</si>
  <si>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</si>
  <si>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</si>
  <si>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</si>
  <si>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</si>
  <si>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</si>
  <si>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</si>
  <si>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</si>
  <si>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</si>
  <si>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</si>
  <si>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</si>
  <si>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</si>
  <si>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</si>
  <si>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</si>
  <si>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</si>
  <si>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</si>
  <si>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</si>
  <si>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</si>
  <si>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</si>
  <si>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</si>
  <si>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</si>
  <si>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</si>
  <si>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</si>
  <si>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</si>
  <si>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</si>
  <si>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</si>
  <si>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</si>
  <si>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</si>
  <si>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</si>
  <si>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</si>
  <si>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</si>
  <si>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</si>
  <si>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</si>
  <si>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</si>
  <si>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</si>
  <si>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</si>
  <si>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</si>
  <si>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</si>
  <si>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</si>
  <si>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</si>
  <si>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</si>
  <si>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</si>
  <si>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</si>
  <si>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</si>
  <si>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</si>
  <si>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</si>
  <si>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</si>
  <si>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</si>
  <si>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</si>
  <si>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</si>
  <si>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</si>
  <si>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</si>
  <si>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</si>
  <si>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</si>
  <si>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</si>
  <si>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</si>
  <si>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</si>
  <si>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</si>
  <si>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</si>
  <si>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</si>
  <si>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</si>
  <si>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</si>
  <si>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</si>
  <si>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</si>
  <si>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</si>
  <si>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</si>
  <si>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</si>
  <si>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</si>
  <si>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</si>
  <si>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</si>
  <si>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</si>
  <si>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</si>
  <si>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</si>
  <si>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</si>
  <si>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</si>
  <si>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</si>
  <si>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</si>
  <si>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</si>
  <si>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</si>
  <si>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</si>
  <si>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</si>
  <si>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</si>
  <si>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</si>
  <si>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</si>
  <si>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</si>
  <si>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</si>
  <si>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</si>
  <si>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</si>
  <si>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</si>
  <si>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</si>
  <si>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</si>
  <si>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</si>
  <si>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</si>
  <si>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</si>
  <si>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</si>
  <si>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</si>
  <si>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</si>
  <si>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</si>
  <si>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</si>
  <si>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</si>
  <si>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</si>
  <si>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</si>
  <si>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</si>
  <si>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</si>
  <si>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</si>
  <si>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</si>
  <si>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</si>
  <si>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</si>
  <si>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</si>
  <si>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</si>
  <si>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</si>
  <si>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</si>
  <si>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</si>
  <si>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</si>
  <si>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</si>
  <si>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</si>
  <si>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</si>
  <si>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</si>
  <si>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</si>
  <si>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</si>
  <si>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</si>
  <si>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</si>
  <si>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</si>
  <si>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</si>
  <si>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</si>
  <si>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</si>
  <si>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</si>
  <si>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</si>
  <si>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</si>
  <si>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</si>
  <si>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</si>
  <si>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</si>
  <si>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</si>
  <si>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</si>
  <si>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</si>
  <si>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</si>
  <si>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</si>
  <si>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</si>
  <si>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</si>
  <si>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</si>
  <si>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</si>
  <si>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</si>
  <si>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</si>
  <si>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</si>
  <si>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</si>
  <si>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</si>
  <si>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</si>
  <si>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</si>
  <si>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</si>
  <si>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</si>
  <si>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</si>
  <si>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</si>
  <si>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</si>
  <si>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</si>
  <si>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</si>
  <si>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</si>
  <si>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</si>
  <si>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</si>
  <si>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</si>
  <si>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</si>
  <si>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</si>
  <si>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</si>
  <si>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</si>
  <si>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</si>
  <si>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</si>
  <si>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</si>
  <si>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</si>
  <si>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</si>
  <si>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</si>
  <si>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</si>
  <si>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</si>
  <si>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</si>
  <si>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</si>
  <si>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</si>
  <si>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</si>
  <si>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</si>
  <si>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</si>
  <si>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</si>
  <si>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</si>
  <si>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</si>
  <si>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</si>
  <si>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</si>
  <si>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</si>
  <si>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</si>
  <si>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</si>
  <si>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</si>
  <si>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</si>
  <si>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</si>
  <si>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</si>
  <si>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</si>
  <si>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</si>
  <si>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</si>
  <si>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</si>
  <si>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</si>
  <si>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</si>
  <si>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</si>
  <si>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</si>
  <si>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</si>
  <si>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</si>
  <si>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</si>
  <si>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</si>
  <si>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</si>
  <si>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</si>
  <si>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</si>
  <si>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</si>
  <si>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</si>
  <si>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</si>
  <si>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</si>
  <si>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</si>
  <si>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</si>
  <si>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</si>
  <si>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</si>
  <si>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</si>
  <si>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</si>
  <si>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</si>
  <si>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</si>
  <si>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</si>
  <si>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</si>
  <si>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</si>
  <si>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</si>
  <si>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</si>
  <si>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</si>
  <si>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</si>
  <si>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</si>
  <si>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</si>
  <si>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</si>
  <si>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</si>
  <si>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</si>
  <si>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</si>
  <si>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</si>
  <si>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</si>
  <si>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</si>
  <si>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</si>
  <si>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</si>
  <si>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</si>
  <si>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</si>
  <si>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</si>
  <si>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</si>
  <si>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</si>
  <si>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</si>
  <si>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</si>
  <si>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</si>
  <si>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</si>
  <si>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</si>
  <si>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</si>
  <si>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</si>
  <si>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</si>
  <si>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</si>
  <si>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</si>
  <si>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</si>
  <si>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</si>
  <si>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</si>
  <si>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</si>
  <si>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</si>
  <si>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</si>
  <si>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</si>
  <si>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</si>
  <si>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</si>
  <si>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</si>
  <si>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</si>
  <si>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</si>
  <si>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</si>
  <si>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</si>
  <si>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</si>
  <si>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</si>
  <si>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</si>
  <si>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</si>
  <si>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</si>
  <si>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</si>
  <si>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</si>
  <si>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</si>
  <si>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</si>
  <si>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</si>
  <si>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</si>
  <si>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</si>
  <si>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</si>
  <si>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</si>
  <si>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</si>
  <si>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</si>
  <si>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</si>
  <si>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</si>
  <si>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</si>
  <si>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</si>
  <si>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</si>
  <si>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</si>
  <si>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</si>
  <si>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</si>
  <si>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</si>
  <si>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</si>
  <si>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</si>
  <si>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</si>
  <si>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</si>
  <si>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</si>
  <si>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</si>
  <si>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</si>
  <si>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</si>
  <si>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</si>
  <si>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</si>
  <si>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</si>
  <si>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</si>
  <si>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</si>
  <si>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</si>
  <si>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</si>
  <si>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</si>
  <si>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</si>
  <si>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</si>
  <si>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</si>
  <si>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</si>
  <si>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</si>
  <si>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</si>
  <si>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</si>
  <si>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</si>
  <si>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</si>
  <si>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</si>
  <si>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</si>
  <si>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</si>
  <si>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</si>
  <si>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</si>
  <si>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</si>
  <si>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</si>
  <si>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</si>
  <si>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</si>
  <si>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</si>
  <si>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</si>
  <si>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</si>
  <si>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</si>
  <si>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</si>
  <si>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</si>
  <si>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</si>
  <si>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</si>
  <si>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</si>
  <si>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</si>
  <si>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</si>
  <si>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</si>
  <si>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</si>
  <si>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</si>
  <si>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</si>
  <si>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</si>
  <si>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</si>
  <si>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</si>
  <si>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</si>
  <si>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</si>
  <si>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</si>
  <si>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</si>
  <si>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</si>
  <si>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</si>
  <si>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</si>
  <si>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</si>
  <si>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</si>
  <si>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</si>
  <si>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</si>
  <si>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</si>
  <si>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</si>
  <si>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</si>
  <si>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</si>
  <si>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</si>
  <si>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</si>
  <si>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</si>
  <si>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</si>
  <si>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</si>
  <si>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</si>
  <si>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</si>
  <si>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</si>
  <si>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</si>
  <si>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</si>
  <si>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</si>
  <si>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</si>
  <si>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</si>
  <si>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</si>
  <si>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</si>
  <si>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</si>
  <si>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</si>
  <si>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</si>
  <si>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</si>
  <si>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</si>
  <si>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</si>
  <si>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</si>
  <si>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</si>
  <si>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</si>
  <si>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</si>
  <si>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</si>
  <si>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</si>
  <si>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</si>
  <si>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</si>
  <si>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</si>
  <si>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</si>
  <si>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</si>
  <si>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</si>
  <si>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</si>
  <si>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</si>
  <si>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</si>
  <si>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</si>
  <si>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</si>
  <si>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</si>
  <si>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</si>
  <si>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</si>
  <si>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</si>
  <si>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</si>
  <si>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</si>
  <si>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</si>
  <si>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</si>
  <si>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</si>
  <si>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</si>
  <si>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</si>
  <si>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</si>
  <si>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</si>
  <si>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</si>
  <si>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</si>
  <si>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</si>
  <si>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</si>
  <si>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</si>
  <si>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</si>
  <si>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</si>
  <si>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</si>
  <si>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</si>
  <si>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</si>
  <si>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</si>
  <si>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</si>
  <si>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</si>
  <si>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</si>
  <si>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</si>
  <si>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</si>
  <si>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</si>
  <si>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</si>
  <si>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</si>
  <si>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</si>
  <si>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</si>
  <si>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</si>
  <si>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</si>
  <si>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</si>
  <si>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</si>
  <si>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</si>
  <si>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</si>
  <si>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</si>
  <si>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</si>
  <si>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</si>
  <si>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</si>
  <si>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</si>
  <si>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</si>
  <si>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</si>
  <si>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</si>
  <si>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</si>
  <si>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</si>
  <si>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</si>
  <si>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</si>
  <si>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</si>
  <si>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</si>
  <si>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</si>
  <si>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</si>
  <si>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</si>
  <si>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</si>
  <si>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</si>
  <si>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</si>
  <si>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</si>
  <si>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</si>
  <si>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</si>
  <si>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</si>
  <si>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</si>
  <si>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</si>
  <si>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</si>
  <si>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</si>
  <si>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</si>
  <si>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</si>
  <si>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</si>
  <si>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</si>
  <si>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</si>
  <si>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</si>
  <si>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</si>
  <si>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</si>
  <si>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</si>
  <si>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</si>
  <si>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</si>
  <si>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</si>
  <si>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</si>
  <si>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</si>
  <si>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</si>
  <si>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</si>
  <si>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</si>
  <si>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</si>
  <si>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</si>
  <si>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</si>
  <si>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</si>
  <si>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</si>
  <si>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</si>
  <si>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</si>
  <si>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</si>
  <si>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</si>
  <si>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</si>
  <si>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</si>
  <si>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</si>
  <si>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</si>
  <si>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</si>
  <si>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</si>
  <si>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</si>
  <si>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</si>
  <si>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</si>
  <si>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</si>
  <si>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</si>
  <si>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</si>
  <si>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</si>
  <si>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</si>
  <si>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</si>
  <si>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</si>
  <si>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</si>
  <si>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</si>
  <si>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</si>
  <si>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</si>
  <si>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</si>
  <si>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</si>
  <si>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</si>
  <si>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</si>
  <si>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</si>
  <si>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</si>
  <si>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</si>
  <si>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</si>
  <si>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</si>
  <si>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</si>
  <si>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</si>
  <si>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</si>
  <si>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</si>
  <si>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</si>
  <si>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</si>
  <si>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</si>
  <si>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</si>
  <si>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</si>
  <si>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</si>
  <si>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</si>
  <si>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</si>
  <si>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</si>
  <si>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</si>
  <si>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</si>
  <si>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</si>
  <si>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</si>
  <si>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</si>
  <si>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</si>
  <si>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</si>
  <si>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</si>
  <si>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</si>
  <si>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</si>
  <si>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</si>
  <si>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</si>
  <si>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</si>
  <si>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</si>
  <si>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</si>
  <si>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</si>
  <si>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</si>
  <si>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</si>
  <si>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</si>
  <si>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</si>
  <si>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</si>
  <si>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</si>
  <si>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</si>
  <si>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</si>
  <si>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</si>
  <si>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</si>
  <si>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</si>
  <si>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</si>
  <si>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</si>
  <si>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</si>
  <si>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</si>
  <si>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</si>
  <si>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</si>
  <si>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</si>
  <si>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</si>
  <si>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</si>
  <si>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</si>
  <si>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</si>
  <si>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</si>
  <si>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</si>
  <si>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</si>
  <si>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</si>
  <si>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</si>
  <si>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</si>
  <si>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</si>
  <si>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</si>
  <si>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</si>
  <si>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</si>
  <si>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</si>
  <si>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</si>
  <si>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</si>
  <si>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</si>
  <si>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</si>
  <si>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</si>
  <si>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</si>
  <si>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</si>
  <si>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</si>
  <si>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</si>
  <si>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</si>
  <si>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</si>
  <si>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</si>
  <si>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</si>
  <si>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</si>
  <si>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</si>
  <si>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</si>
  <si>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</si>
  <si>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</si>
  <si>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</si>
  <si>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</si>
  <si>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</si>
  <si>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</si>
  <si>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</si>
  <si>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</si>
  <si>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</si>
  <si>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</si>
  <si>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</si>
  <si>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</si>
  <si>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</si>
  <si>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</si>
  <si>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</si>
  <si>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</si>
  <si>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</si>
  <si>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</si>
  <si>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</si>
  <si>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</si>
  <si>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</si>
  <si>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</si>
  <si>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</si>
  <si>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</si>
  <si>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</si>
  <si>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</si>
  <si>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</si>
  <si>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</si>
  <si>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</si>
  <si>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</si>
  <si>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</si>
  <si>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</si>
  <si>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</si>
  <si>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</si>
  <si>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</si>
  <si>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</si>
  <si>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</si>
  <si>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</si>
  <si>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</si>
  <si>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</si>
  <si>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</si>
  <si>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</si>
  <si>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</si>
  <si>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</si>
  <si>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</si>
  <si>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</si>
  <si>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</si>
  <si>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</si>
  <si>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</si>
  <si>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</si>
  <si>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</si>
  <si>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</si>
  <si>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</si>
  <si>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</si>
  <si>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</si>
  <si>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</si>
  <si>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</si>
  <si>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</si>
  <si>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</si>
  <si>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</si>
  <si>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</si>
  <si>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</si>
  <si>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</si>
  <si>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</si>
  <si>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</si>
  <si>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</si>
  <si>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</si>
  <si>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</si>
  <si>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</si>
  <si>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</si>
  <si>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</si>
  <si>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</si>
  <si>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</si>
  <si>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</si>
  <si>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</si>
  <si>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</si>
  <si>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</si>
  <si>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</si>
  <si>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</si>
  <si>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</si>
  <si>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</si>
  <si>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</si>
  <si>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</si>
  <si>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</si>
  <si>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</si>
  <si>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</si>
  <si>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</si>
  <si>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</si>
  <si>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</si>
  <si>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</si>
  <si>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</si>
  <si>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</si>
  <si>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</si>
  <si>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</si>
  <si>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</si>
  <si>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</si>
  <si>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</si>
  <si>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</si>
  <si>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</si>
  <si>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</si>
  <si>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</si>
  <si>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</si>
  <si>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</si>
  <si>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</si>
  <si>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</si>
  <si>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</si>
  <si>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</si>
  <si>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</si>
  <si>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</si>
  <si>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</si>
  <si>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</si>
  <si>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</si>
  <si>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</si>
  <si>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</si>
  <si>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</si>
  <si>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</si>
  <si>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</si>
  <si>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</si>
  <si>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</si>
  <si>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</si>
  <si>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</si>
  <si>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</si>
  <si>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</si>
  <si>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</si>
  <si>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</si>
  <si>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</si>
  <si>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</si>
  <si>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</si>
  <si>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</si>
  <si>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</si>
  <si>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</si>
  <si>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</si>
  <si>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</si>
  <si>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</si>
  <si>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</si>
  <si>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</si>
  <si>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</si>
  <si>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</si>
  <si>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</si>
  <si>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</si>
  <si>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</si>
  <si>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</si>
  <si>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</si>
  <si>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</si>
  <si>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</si>
  <si>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</si>
  <si>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</si>
  <si>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</si>
  <si>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</si>
  <si>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</si>
  <si>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</si>
  <si>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</si>
  <si>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</si>
  <si>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</si>
  <si>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</si>
  <si>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</si>
  <si>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</si>
  <si>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</si>
  <si>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</si>
  <si>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</si>
  <si>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</si>
  <si>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</si>
  <si>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</si>
  <si>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</si>
  <si>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</si>
  <si>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</si>
  <si>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</si>
  <si>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</si>
  <si>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</si>
  <si>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</si>
  <si>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</si>
  <si>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</si>
  <si>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</si>
  <si>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</si>
  <si>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</si>
  <si>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</si>
  <si>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</si>
  <si>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</si>
  <si>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</si>
  <si>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</si>
  <si>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</si>
  <si>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</si>
  <si>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</si>
  <si>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</si>
  <si>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</si>
  <si>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</si>
  <si>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</si>
  <si>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</si>
  <si>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</si>
  <si>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</si>
  <si>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</si>
  <si>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</si>
  <si>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</si>
  <si>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</si>
  <si>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</si>
  <si>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</si>
  <si>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</si>
  <si>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</si>
  <si>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</si>
  <si>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</si>
  <si>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</si>
  <si>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</si>
  <si>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</si>
  <si>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</si>
  <si>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</si>
  <si>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</si>
  <si>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</si>
  <si>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</si>
  <si>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</si>
  <si>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</si>
  <si>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</si>
  <si>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</si>
  <si>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</si>
  <si>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</si>
  <si>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</si>
  <si>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</si>
  <si>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</si>
  <si>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</si>
  <si>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</si>
  <si>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</si>
  <si>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</si>
  <si>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</si>
  <si>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</si>
  <si>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</si>
  <si>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</si>
  <si>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</si>
  <si>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</si>
  <si>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</si>
  <si>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</si>
  <si>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</si>
  <si>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</si>
  <si>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</si>
  <si>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</si>
  <si>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</si>
  <si>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</si>
  <si>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</si>
  <si>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</si>
  <si>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</si>
  <si>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</si>
  <si>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</si>
  <si>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</si>
  <si>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</si>
  <si>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</si>
  <si>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</si>
  <si>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</si>
  <si>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</si>
  <si>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</si>
  <si>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</si>
  <si>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</si>
  <si>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</si>
  <si>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</si>
  <si>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</si>
  <si>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</si>
  <si>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</si>
  <si>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</si>
  <si>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</si>
  <si>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</si>
  <si>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</si>
  <si>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</si>
  <si>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</si>
  <si>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</si>
  <si>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</si>
  <si>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</si>
  <si>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</si>
  <si>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</si>
  <si>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</si>
  <si>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</si>
  <si>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</si>
  <si>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</si>
  <si>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</si>
  <si>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</si>
  <si>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</si>
  <si>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</si>
  <si>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</si>
  <si>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</si>
  <si>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</si>
  <si>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</si>
  <si>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</si>
  <si>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</si>
  <si>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</si>
  <si>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</si>
  <si>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</si>
  <si>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</si>
  <si>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</si>
  <si>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</si>
  <si>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</si>
  <si>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</si>
  <si>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</si>
  <si>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</si>
  <si>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</si>
  <si>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</si>
  <si>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</si>
  <si>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</si>
  <si>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</si>
  <si>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</si>
  <si>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</si>
  <si>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</si>
  <si>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</si>
  <si>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</si>
  <si>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</si>
  <si>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</si>
  <si>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</si>
  <si>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</si>
  <si>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</si>
  <si>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</si>
  <si>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</si>
  <si>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</si>
  <si>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</si>
  <si>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</si>
  <si>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</si>
  <si>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</si>
  <si>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</si>
  <si>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</si>
  <si>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</si>
  <si>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</si>
  <si>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</si>
  <si>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</si>
  <si>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</si>
  <si>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</si>
  <si>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</si>
  <si>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</si>
  <si>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</si>
  <si>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</si>
  <si>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</si>
  <si>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</si>
  <si>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</si>
  <si>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</si>
  <si>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</si>
  <si>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</si>
  <si>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</si>
  <si>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</si>
  <si>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</si>
  <si>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</si>
  <si>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</si>
  <si>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</si>
  <si>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</si>
  <si>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</si>
  <si>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</si>
  <si>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</si>
  <si>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</si>
  <si>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</si>
  <si>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</si>
  <si>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</si>
  <si>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</si>
  <si>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</si>
  <si>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</si>
  <si>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</si>
  <si>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</si>
  <si>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</si>
  <si>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</si>
  <si>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</si>
  <si>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</si>
  <si>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</si>
  <si>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</si>
  <si>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</si>
  <si>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</si>
  <si>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</si>
  <si>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</si>
  <si>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</si>
  <si>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</si>
  <si>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</si>
  <si>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</si>
  <si>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</si>
  <si>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</si>
  <si>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</si>
  <si>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</si>
  <si>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</si>
  <si>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</si>
  <si>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</si>
  <si>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</si>
  <si>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</si>
  <si>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</si>
  <si>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</si>
  <si>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</si>
  <si>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</si>
  <si>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</si>
  <si>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</si>
  <si>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</si>
  <si>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</si>
  <si>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</si>
  <si>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</si>
  <si>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</si>
  <si>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</si>
  <si>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</si>
  <si>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</si>
  <si>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</si>
  <si>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</si>
  <si>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</si>
  <si>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</si>
  <si>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</si>
  <si>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</si>
  <si>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</si>
  <si>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</si>
  <si>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</si>
  <si>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</si>
  <si>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</si>
  <si>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</si>
  <si>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</si>
  <si>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</si>
  <si>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</si>
  <si>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</si>
  <si>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</si>
  <si>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</si>
  <si>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</si>
  <si>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</si>
  <si>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</si>
  <si>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</si>
  <si>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</si>
  <si>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</si>
  <si>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</si>
  <si>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</si>
  <si>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</si>
  <si>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</si>
  <si>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</si>
  <si>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</si>
  <si>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</si>
  <si>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</si>
  <si>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</si>
  <si>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</si>
  <si>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</si>
  <si>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</si>
  <si>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</si>
  <si>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</si>
  <si>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</si>
  <si>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</si>
  <si>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</si>
  <si>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</si>
  <si>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</si>
  <si>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</si>
  <si>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</si>
  <si>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</si>
  <si>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</si>
  <si>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</si>
  <si>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</si>
  <si>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</si>
  <si>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</si>
  <si>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</si>
  <si>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</si>
  <si>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</si>
  <si>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</si>
  <si>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</si>
  <si>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</si>
  <si>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</si>
  <si>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</si>
  <si>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</si>
  <si>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</si>
  <si>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</si>
  <si>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</si>
  <si>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</si>
  <si>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</si>
  <si>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</si>
  <si>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</si>
  <si>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</si>
  <si>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</si>
  <si>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</si>
  <si>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</si>
  <si>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</si>
  <si>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</si>
  <si>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</si>
  <si>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</si>
  <si>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</si>
  <si>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</si>
  <si>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</si>
  <si>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</si>
  <si>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</si>
  <si>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</si>
  <si>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</si>
  <si>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</si>
  <si>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</si>
  <si>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</si>
  <si>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</si>
  <si>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</si>
  <si>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</si>
  <si>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</si>
  <si>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</si>
  <si>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</si>
  <si>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</si>
  <si>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</si>
  <si>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</si>
  <si>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</si>
  <si>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</si>
  <si>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</si>
  <si>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</si>
  <si>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</si>
  <si>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</si>
  <si>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</si>
  <si>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</si>
  <si>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</si>
  <si>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</si>
  <si>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</si>
  <si>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</si>
  <si>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</si>
  <si>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</si>
  <si>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</si>
  <si>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</si>
  <si>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</si>
  <si>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</si>
  <si>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</si>
  <si>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</si>
  <si>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</si>
  <si>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</si>
  <si>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</si>
  <si>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</si>
  <si>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</si>
  <si>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</si>
  <si>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</si>
  <si>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</si>
  <si>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</si>
  <si>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</si>
  <si>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</si>
  <si>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</si>
  <si>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</si>
  <si>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</si>
  <si>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</si>
  <si>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</si>
  <si>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</si>
  <si>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</si>
  <si>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</si>
  <si>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</si>
  <si>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</si>
  <si>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</si>
  <si>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</si>
  <si>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</si>
  <si>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</si>
  <si>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</si>
  <si>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</si>
  <si>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</si>
  <si>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</si>
  <si>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</si>
  <si>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</si>
  <si>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</si>
  <si>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</si>
  <si>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</si>
  <si>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</si>
  <si>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</si>
  <si>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</si>
  <si>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</si>
  <si>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</si>
  <si>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</si>
  <si>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</si>
  <si>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</si>
  <si>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</si>
  <si>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</si>
  <si>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</si>
  <si>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</si>
  <si>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</si>
  <si>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</si>
  <si>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</si>
  <si>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</si>
  <si>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</si>
  <si>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</si>
  <si>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</si>
  <si>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</si>
  <si>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</si>
  <si>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</si>
  <si>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</si>
  <si>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</si>
  <si>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</si>
  <si>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</si>
  <si>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</si>
  <si>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</si>
  <si>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</si>
  <si>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</si>
  <si>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</si>
  <si>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</si>
  <si>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</si>
  <si>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</si>
  <si>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</si>
  <si>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</si>
  <si>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</si>
  <si>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</si>
  <si>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</si>
  <si>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</si>
  <si>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</si>
  <si>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</si>
  <si>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</si>
  <si>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</si>
  <si>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</si>
  <si>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</si>
  <si>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</si>
  <si>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</si>
  <si>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</si>
  <si>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</si>
  <si>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</si>
  <si>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</si>
  <si>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</si>
  <si>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</si>
  <si>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</si>
  <si>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</si>
  <si>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</si>
  <si>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</si>
  <si>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</si>
  <si>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</si>
  <si>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</si>
  <si>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</si>
  <si>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</si>
  <si>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</si>
  <si>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</si>
  <si>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</si>
  <si>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</si>
  <si>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</si>
  <si>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</si>
  <si>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</si>
  <si>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</si>
  <si>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</si>
  <si>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</si>
  <si>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</si>
  <si>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</si>
  <si>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</si>
  <si>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</si>
  <si>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</si>
  <si>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</si>
  <si>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</si>
  <si>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</si>
  <si>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</si>
  <si>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</si>
  <si>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</si>
  <si>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</si>
  <si>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</si>
  <si>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</si>
  <si>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</si>
  <si>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</si>
  <si>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</si>
  <si>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</si>
  <si>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</si>
  <si>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</si>
  <si>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</si>
  <si>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</si>
  <si>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</si>
  <si>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</si>
  <si>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</si>
  <si>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</si>
  <si>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</si>
  <si>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</si>
  <si>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</si>
  <si>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</si>
  <si>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</si>
  <si>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</si>
  <si>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</si>
  <si>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</si>
  <si>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</si>
  <si>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</si>
  <si>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</si>
  <si>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</si>
  <si>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</si>
  <si>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</si>
  <si>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</si>
  <si>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</si>
  <si>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</si>
  <si>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</si>
  <si>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</si>
  <si>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</si>
  <si>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</si>
  <si>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</si>
  <si>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</si>
  <si>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</si>
  <si>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</si>
  <si>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</si>
  <si>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</si>
  <si>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</si>
  <si>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</si>
  <si>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</si>
  <si>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</si>
  <si>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</si>
  <si>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</si>
  <si>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</si>
  <si>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</si>
  <si>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</si>
  <si>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</si>
  <si>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</si>
  <si>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</si>
  <si>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</si>
  <si>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</si>
  <si>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</si>
  <si>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</si>
  <si>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</si>
  <si>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</si>
  <si>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</si>
  <si>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</si>
  <si>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</si>
  <si>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</si>
  <si>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</si>
  <si>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</si>
  <si>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</si>
  <si>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</si>
  <si>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</si>
  <si>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</si>
  <si>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</si>
  <si>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</si>
  <si>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</si>
  <si>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</si>
  <si>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</si>
  <si>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</si>
  <si>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</si>
  <si>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</si>
  <si>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</si>
  <si>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</si>
  <si>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</si>
  <si>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</si>
  <si>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</si>
  <si>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</si>
  <si>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</si>
  <si>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</si>
  <si>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</si>
  <si>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</si>
  <si>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</si>
  <si>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</si>
  <si>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</si>
  <si>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</si>
  <si>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</si>
  <si>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</si>
  <si>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</si>
  <si>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</si>
  <si>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</si>
  <si>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</si>
  <si>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</si>
  <si>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</si>
  <si>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</si>
  <si>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</si>
  <si>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</si>
  <si>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</si>
  <si>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</si>
  <si>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</si>
  <si>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</si>
  <si>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</si>
  <si>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</si>
  <si>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</si>
  <si>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</si>
  <si>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</si>
  <si>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</si>
  <si>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</si>
  <si>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</si>
  <si>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</si>
  <si>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</si>
  <si>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</si>
  <si>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</si>
  <si>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</si>
  <si>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</si>
  <si>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</si>
  <si>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</si>
  <si>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</si>
  <si>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</si>
  <si>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</si>
  <si>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</si>
  <si>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</si>
  <si>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</si>
  <si>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</si>
  <si>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</si>
  <si>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</si>
  <si>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</si>
  <si>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</si>
  <si>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</si>
  <si>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</si>
  <si>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</si>
  <si>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</si>
  <si>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</si>
  <si>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</si>
  <si>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</si>
  <si>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</si>
  <si>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</si>
  <si>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</si>
  <si>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</si>
  <si>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</si>
  <si>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</si>
  <si>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</si>
  <si>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</si>
  <si>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</si>
  <si>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</si>
  <si>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</si>
  <si>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</si>
  <si>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</si>
  <si>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</si>
  <si>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</si>
  <si>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</si>
  <si>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</si>
  <si>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</si>
  <si>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</si>
  <si>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</si>
  <si>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</si>
  <si>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</si>
  <si>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</si>
  <si>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</si>
  <si>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</si>
  <si>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</si>
  <si>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</si>
  <si>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</si>
  <si>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</si>
  <si>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</si>
  <si>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</si>
  <si>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</si>
  <si>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</si>
  <si>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</si>
  <si>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</si>
  <si>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</si>
  <si>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</si>
  <si>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</si>
  <si>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</si>
  <si>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</si>
  <si>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</si>
  <si>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</si>
  <si>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</si>
  <si>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</si>
  <si>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</si>
  <si>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</si>
  <si>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</si>
  <si>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</si>
  <si>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</si>
  <si>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</si>
  <si>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</si>
  <si>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</si>
  <si>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</si>
  <si>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</si>
  <si>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</si>
  <si>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</si>
  <si>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</si>
  <si>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</si>
  <si>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</si>
  <si>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</si>
  <si>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</si>
  <si>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</si>
  <si>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</si>
  <si>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</si>
  <si>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</si>
  <si>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</si>
  <si>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</si>
  <si>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</si>
  <si>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</si>
  <si>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</si>
  <si>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</si>
  <si>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</si>
  <si>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</si>
  <si>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</si>
  <si>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</si>
  <si>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</si>
  <si>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</si>
  <si>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</si>
  <si>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</si>
  <si>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</si>
  <si>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</si>
  <si>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</si>
  <si>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</si>
  <si>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</si>
  <si>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</si>
  <si>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</si>
  <si>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</si>
  <si>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</si>
  <si>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</si>
  <si>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</si>
  <si>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</si>
  <si>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</si>
  <si>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</si>
  <si>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</si>
  <si>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</si>
  <si>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</si>
  <si>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</si>
  <si>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</si>
  <si>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</si>
  <si>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</si>
  <si>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</si>
  <si>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</si>
  <si>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</si>
  <si>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</si>
  <si>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</si>
  <si>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</si>
  <si>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</si>
  <si>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</si>
  <si>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</si>
  <si>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</si>
  <si>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</si>
  <si>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</si>
  <si>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</si>
  <si>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</si>
  <si>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</si>
  <si>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</si>
  <si>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</si>
  <si>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</si>
  <si>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</si>
  <si>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</si>
  <si>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</si>
  <si>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</si>
  <si>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</si>
  <si>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</si>
  <si>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</si>
  <si>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</si>
  <si>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</si>
  <si>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</si>
  <si>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</si>
  <si>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</si>
  <si>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</si>
  <si>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</si>
  <si>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</si>
  <si>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</si>
  <si>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</si>
  <si>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</si>
  <si>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</si>
  <si>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</si>
  <si>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</si>
  <si>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</si>
  <si>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</si>
  <si>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</si>
  <si>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</si>
  <si>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</si>
  <si>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</si>
  <si>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</si>
  <si>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</si>
  <si>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</si>
  <si>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</si>
  <si>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</si>
  <si>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</si>
  <si>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</si>
  <si>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</si>
  <si>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</si>
  <si>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</si>
  <si>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</si>
  <si>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</si>
  <si>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</si>
  <si>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</si>
  <si>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</si>
  <si>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</si>
  <si>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</si>
  <si>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</si>
  <si>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</si>
  <si>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</si>
  <si>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</si>
  <si>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</si>
  <si>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</si>
  <si>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</si>
  <si>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</si>
  <si>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</si>
  <si>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</si>
  <si>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</si>
  <si>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</si>
  <si>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</si>
  <si>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</si>
  <si>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</si>
  <si>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</si>
  <si>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</si>
  <si>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</si>
  <si>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</si>
  <si>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</si>
  <si>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</si>
  <si>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</si>
  <si>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</si>
  <si>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</si>
  <si>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</si>
  <si>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</si>
  <si>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</si>
  <si>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</si>
  <si>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</si>
  <si>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</si>
  <si>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</si>
  <si>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</si>
  <si>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</si>
  <si>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</si>
  <si>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</si>
  <si>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</si>
  <si>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</si>
  <si>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</si>
  <si>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</si>
  <si>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</si>
  <si>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</si>
  <si>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</si>
  <si>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</si>
  <si>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</si>
  <si>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</si>
  <si>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</si>
  <si>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</si>
  <si>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</si>
  <si>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</si>
  <si>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</si>
  <si>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</si>
  <si>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</si>
  <si>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</si>
  <si>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</si>
  <si>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</si>
  <si>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</si>
  <si>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</si>
  <si>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</si>
  <si>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</si>
  <si>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</si>
  <si>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</si>
  <si>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</si>
  <si>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</si>
  <si>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</si>
  <si>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</si>
  <si>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</si>
  <si>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</si>
  <si>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</si>
  <si>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</si>
  <si>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</si>
  <si>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</si>
  <si>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</si>
  <si>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</si>
  <si>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</si>
  <si>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</si>
  <si>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</si>
  <si>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</si>
  <si>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</si>
  <si>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</si>
  <si>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</si>
  <si>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</si>
  <si>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</si>
  <si>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</si>
  <si>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</si>
  <si>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</si>
  <si>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</si>
  <si>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</si>
  <si>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</si>
  <si>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</si>
  <si>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</si>
  <si>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</si>
  <si>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</si>
  <si>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</si>
  <si>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</si>
  <si>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</si>
  <si>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</si>
  <si>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</si>
  <si>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</si>
  <si>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</si>
  <si>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</si>
  <si>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</si>
  <si>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</si>
  <si>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</si>
  <si>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</si>
  <si>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</si>
  <si>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DK</t>
  </si>
  <si>
    <t>Danish Energy Agency, Centre for Energy Administration</t>
  </si>
  <si>
    <t/>
  </si>
  <si>
    <t>Lukas Matz Jensen</t>
  </si>
  <si>
    <t>Advisor</t>
  </si>
  <si>
    <t>Niels Bohrs Vej 8D, DK-6700 Esbjerg, Denmark</t>
  </si>
  <si>
    <t>+45 33 95 09 11</t>
  </si>
  <si>
    <t>lmzj@ens.dk</t>
  </si>
  <si>
    <t>Danish Energy Agency (Energistyrelsen)</t>
  </si>
  <si>
    <t>DEA (ENS)</t>
  </si>
  <si>
    <t>+45 33 92 67 00</t>
  </si>
  <si>
    <t>ens@ens.dk</t>
  </si>
  <si>
    <t>www.ens.dk</t>
  </si>
  <si>
    <t>The Danish Accreditation Fund (Den Danske Akkrediteringsfond)</t>
  </si>
  <si>
    <t>DANAK</t>
  </si>
  <si>
    <t>+45 77 33 95 00</t>
  </si>
  <si>
    <t>danak@danak.dk</t>
  </si>
  <si>
    <t>www.danak.dk</t>
  </si>
  <si>
    <t>Danish Business Authority, The EU ETS Registry (Erhvervsstyrelsen, CO2-kvoteregister)</t>
  </si>
  <si>
    <t>DBA</t>
  </si>
  <si>
    <t>+45 35 29 10 00</t>
  </si>
  <si>
    <t>co2register@erst.dk</t>
  </si>
  <si>
    <t>https://danishbusinessauthority.dk/eu-ets-registry-and-danish-kyoto-registry</t>
  </si>
  <si>
    <t>At least once a year</t>
  </si>
  <si>
    <t>Meetings with the verifiers and DANAK are held once a year and when needed</t>
  </si>
  <si>
    <t>Coordination between the DEA and the Danish Environmental Protection Agency: The Danish Energy Agency has agreed with the Environmental Protection Agency that the agency – on a regularly basis - will forward a list including the names of installations holding an IED-permit and thereby enable the Danish Energy Agency to compare it with the list of ETS-installations. Furthermore, there is no emission limit value for direct emissions of the greenhouse gases specified in the IED-permit.</t>
  </si>
  <si>
    <t>A permit may be revoked: - When an installation no longer is covered of the annex I activities, - if the operator is guilty of gross or repeated violation of the provisions of the Danish Act on CO2 Allowances, of regulations issued pursuant to the Act on CO2 Allowances, of any EU legislation pertaining to matters covered by the Act on CO2 Allowances, or of the terms of the permit (only by court decision), - If the operator is not deemed to be able to fulfill his obligations under the Danish Act on CO2 Allowances in a fully justified manner , -or has a debt due to the public of more than DKK 100,000, cf. section 16 of the Danish Act on CO2-Allowance.</t>
  </si>
  <si>
    <t>Capacity changes should be reported in the monitoring plan without undue delay. When the DEA approves the monitoring plan, the operator also receive the permit. The permit and the approval of the monitoring plan is the same document.</t>
  </si>
  <si>
    <t>When the DEA approves the monitoring plan, the operator also receive the permit. The permit and the approval of the monitoring plan is the same document.</t>
  </si>
  <si>
    <t>The permit and the approval of the monitoring plan is the same document.</t>
  </si>
  <si>
    <t>When an installation changes operator, the permit can be handed over to the new operator upon approval of the DEA</t>
  </si>
  <si>
    <t>Order on sustainability, etc. of biofuels and bioliquids used for activities covered by the Act on CO2 allowances (no. 1619 of 15/12/2016) including requirements on documentation for sustainability.</t>
  </si>
  <si>
    <t>Guidance regarding the ETS scheme is on the DEA's website (https://ens.dk/ansvarsomraader/co2-kvoter). The web page holds general information and links to guidance material on the Climate Action web page. For installations supporting papers have been developed, e.g. on biomass issues, thermal input and control activities</t>
  </si>
  <si>
    <t>The ETS reporting is also used for the greenhouse gas (GHG) inventory reporting. The staff involved in GHG inventory reporting receive the data in excel sheets and reports.</t>
  </si>
  <si>
    <t>The ETS reportings are also used for the Annual Energy Statistics.</t>
  </si>
  <si>
    <t>We are currently actively working on creating a structured coordination between the danish authorities responsible E-PRTR and the DEA</t>
  </si>
  <si>
    <t>An online application with the content of Commission template has been developed. Installations using measurement-based methodology are using the Commissions template.</t>
  </si>
  <si>
    <t>An online application with the content of Commission template has been developed. Installations using measurement-based methodolgy are using the Comissions templeate.</t>
  </si>
  <si>
    <t>An online version of the Commission template has been developed.</t>
  </si>
  <si>
    <t>An online version of the Commission template on improvement report covering the improvement reporting based on the verifification report (MRR Article 69,4) has been deployed in 2020. Installations which do not use the required tier (MRR Article 69,1) use the Commission excel template.</t>
  </si>
  <si>
    <t>We use the commission template</t>
  </si>
  <si>
    <t>The online system contains the same information, as the templates published by the commission, and is based on the common reporting language.</t>
  </si>
  <si>
    <t>The rules in Article 75 (1) and (2) have been integreted in delevoping the DEA's new electronic system for the ETS scheme. For example: Secure SSL for encryption of data, login with digital signatures and digital signing, automatically generated e-mails from the system without enclosing files (the operator shall download the files directly)</t>
  </si>
  <si>
    <t>2D3 - Process - Solvents</t>
  </si>
  <si>
    <t>Waste</t>
  </si>
  <si>
    <t>Other solid biomass</t>
  </si>
  <si>
    <t>Biodiesels</t>
  </si>
  <si>
    <t>Biogas - other</t>
  </si>
  <si>
    <t>Biogas - flaregas</t>
  </si>
  <si>
    <t>Biogas from waste</t>
  </si>
  <si>
    <t>Biogas from landfill plant</t>
  </si>
  <si>
    <t>Biogas from manure</t>
  </si>
  <si>
    <t>Biogas from treatment plants</t>
  </si>
  <si>
    <t>Bionatural gas from gasgrid</t>
  </si>
  <si>
    <t>Bio-oil</t>
  </si>
  <si>
    <t>Mixed fossil and biofuel</t>
  </si>
  <si>
    <t>Butane</t>
  </si>
  <si>
    <t>Gas oil</t>
  </si>
  <si>
    <t>Straw</t>
  </si>
  <si>
    <t>Coke, cinders</t>
  </si>
  <si>
    <t>Malting wheat</t>
  </si>
  <si>
    <t>Meat and bone meal</t>
  </si>
  <si>
    <t>Liquefied petroleum gases</t>
  </si>
  <si>
    <t>Material - other carbon materials</t>
  </si>
  <si>
    <t>Material - Bypass material</t>
  </si>
  <si>
    <t>Material - CaCO3</t>
  </si>
  <si>
    <t>Material - Dolomite</t>
  </si>
  <si>
    <t>Material - Na2CO3</t>
  </si>
  <si>
    <t>Material - Raw materials</t>
  </si>
  <si>
    <t>Methanol</t>
  </si>
  <si>
    <t>Natural gas from gas grid</t>
  </si>
  <si>
    <t>Rapeseed oil</t>
  </si>
  <si>
    <t>Wood chips</t>
  </si>
  <si>
    <t>Waste oil</t>
  </si>
  <si>
    <t>Wood waste</t>
  </si>
  <si>
    <t>Wooden pellets</t>
  </si>
  <si>
    <t>Fuel gas (natural gas) (production offshore)</t>
  </si>
  <si>
    <t>PetCoke</t>
  </si>
  <si>
    <t>DK-205619</t>
  </si>
  <si>
    <t>DK-202197</t>
  </si>
  <si>
    <t>DK-204108</t>
  </si>
  <si>
    <t>DK-203364</t>
  </si>
  <si>
    <t>DK-202591</t>
  </si>
  <si>
    <t>DK-86</t>
  </si>
  <si>
    <t>DK-241</t>
  </si>
  <si>
    <t>DK-85</t>
  </si>
  <si>
    <t>DK-203614</t>
  </si>
  <si>
    <t>DK-205515</t>
  </si>
  <si>
    <t>DK-202613</t>
  </si>
  <si>
    <t>DK-203845</t>
  </si>
  <si>
    <t>In general, compliance with sustainability criteria for bioliquid and biofuel should be demonstrated in DK in form of certificates according to EU-approved voluntary schemes (eg. ISCC), but other forms of documentation for demonstration compliance is also allowed, see Order on Sustainability for biofuels and bioliquids in the ETS (no 1619 of 15/12/2016 and no 1313 of 14/06/2021).</t>
  </si>
  <si>
    <t>Using natural gas and/or more de-minimis source streams</t>
  </si>
  <si>
    <t>DK-382</t>
  </si>
  <si>
    <t>DK-401</t>
  </si>
  <si>
    <t>Surrogate data (th only fuel source - natural gas - has been disconnected)</t>
  </si>
  <si>
    <t>Surrogate data: Amount of electricity delivered to the grid and correlation between electricity delivered and gas oil combusted in earlier reportings.</t>
  </si>
  <si>
    <t>Reminder and formal warning</t>
  </si>
  <si>
    <t xml:space="preserve">Reminder, formal warning and fines </t>
  </si>
  <si>
    <t>All installations that deliver energy to the grid are cross checked with other energy reporting (246/310)</t>
  </si>
  <si>
    <t>All emission reports and verification reports are checked in a spread sheet and compared with information from the monitoring plans. 54 % of all installations where then examined in detail because of flags/warnings in the spread sheet. Other installations have been examined because of other reasons. The control continues after 30 June.</t>
  </si>
  <si>
    <t>None</t>
  </si>
  <si>
    <t>Updating monitoring plans, conservative estimation of emissions, report to the relevant accrediting bodies.</t>
  </si>
  <si>
    <t>46487</t>
  </si>
  <si>
    <t>EUCTR. EU ETSSF AER generator</t>
  </si>
  <si>
    <t>The aircraft operator went bankrupt. Estate administrator was notified on obligations, but did not submit a report on behalf of the bankrupcy estate.</t>
  </si>
  <si>
    <t>EUCTR ETSSF for EU ETS reporting and CH data &amp; EMIS CSF/CRT for CORSIA</t>
  </si>
  <si>
    <t>Focused on number of flight per aerodromepair and flight referred to as exempted</t>
  </si>
  <si>
    <t>Contacted 1 operator in relation to PSO flights. CA noted correctly applies conditions acc. To approved AEMP</t>
  </si>
  <si>
    <t>Emission data, CHP tool data and EE data as included in the ALCR-template</t>
  </si>
  <si>
    <t>Returned with a comment to re-verify</t>
  </si>
  <si>
    <t xml:space="preserve">Reverification. CA requested the operator to obtain a new verification report.  </t>
  </si>
  <si>
    <t>Information exchange according to AVR art. 73 - Complaints</t>
  </si>
  <si>
    <t>Maintain</t>
  </si>
  <si>
    <t>FeePerAllow</t>
  </si>
  <si>
    <t>One sitevisit was conducted as an observer with the NAB and verifier</t>
  </si>
  <si>
    <t>Not relevant</t>
  </si>
  <si>
    <t>Reminders on deadlines and obligations.</t>
  </si>
  <si>
    <t>Two installation did not repeatadly submit verified annual emissionsreports, one installations did not repeatadly surrender allowances.</t>
  </si>
  <si>
    <t>Unless more severe punishment (fine and imprisonment) is incurred under other legislation. A fine will according to the danish law on CO2-allowances and normal legal rules and principles in the Danish Legal system be settled by court decisions.</t>
  </si>
  <si>
    <t>see above</t>
  </si>
  <si>
    <t>Law No 536 of 27 April 2022 and Ordinance No 2134 of 21 December 2020</t>
  </si>
  <si>
    <t>Failure to submit a verified emission report by 31 March and to surrender allowances.</t>
  </si>
  <si>
    <t>Regulerkraft Ikast Aps</t>
  </si>
  <si>
    <t>Unless more severe punishment (fine and imprisonmment) is incurred under other legislation. A fine will according to the Danish law on CO2-Allowances and normal legal rules and principles in the Danish legal system be settled by court decision.</t>
  </si>
  <si>
    <t>See above</t>
  </si>
  <si>
    <t>The following steps would be taken before requesting an operating ban from the comission:
1. Enforcing directive 2003/87/EC.
2. Sending a formal warning to the aircraft operator.
3. Issuing of penalty fines.
4. Publishing the names of aircraft operators that are not in compliance with Regulation (EU) 2018/2066 by 19/12/2018
5. Contact to the danish traffic authorities with the purpose of having the AOC withdrawed from the operator.</t>
  </si>
  <si>
    <t>Please refer to 11.2 for the answer to this question</t>
  </si>
  <si>
    <t>Emission allowances are taxed after the rules of business assets. Businesses, which receive free emission allowances, are exempted from taxation of the value of the emission allowance. Emission allowances can be sold in the same way as other assets and the profit is taxable. Profit is calculated as the difference between the sales price and the purchase price. The purchase price for an allocated free emission allowance is set to zero. Businesses, which buy emission allowances, can deduct the acquisition cost at the calculation of the taxable income, when the allowance is used. The deduction is given for the tax year where the allowance or part of the allowance is used in the production. In case of profit or loss at the sale of an emission allowance, the profit is taxable income. Profit or loss is calculated as the difference between the sales price and the purchase price. The purchase price is estimated as the price paid when the emission allowance was bought.</t>
  </si>
  <si>
    <t>CorpIncTax</t>
  </si>
  <si>
    <t>VAT</t>
  </si>
  <si>
    <t>22</t>
  </si>
  <si>
    <t>25</t>
  </si>
  <si>
    <t>No speciel arrangements has been imposed by the DEA, but if other operators, aircraft operators or third parties raise concerns over potentially fraudulent activity regarding the free allocation of allowances, the DEA will investigate the case.</t>
  </si>
  <si>
    <t>The DEA and the National Administrator responsible for the union registry, are both responsible for the initiation of investigation procedures.</t>
  </si>
  <si>
    <t>Beside the ETS verification system, the DEA shall supervise compliance of operators and aircraft operators, cf. the Danish Act on CO2 Allowances, section 29. The DEA are carrying out control regarding the free allocation application and the yearly activity level regarding the free allocation.</t>
  </si>
  <si>
    <t>The allocation of free allowances in a given year is conditional upon the operator holding a valid emissions permit and permits required under other legislation, as well as on the correctness of the information notified by the operator of significance for the allocation, cf. the Danish Executive Order on CO2 Allowances, section 13 (1) - If the allocation of allowances is based on incorrect data or information, an adjustment of the allowance allocation may be carried out the following year, cf. the Danish Executive Order on CO2 Allowances, section 13 (2). - The DEA may decide that an operator who has been allocated allowances on the basis of incorrect data or information or if the conditions for this have otherwise not been met, shall return allowances corresponding to those incorrectly received, cf. the Danish Act on CO2 Allowances, section 19 (2). Offenders shall also be liable to a fine (unless more severe punishment fine and imprisonmment is incurred under other legislation) - omitting to notify matters of significance for the emissions permit and for the allocation of free allowances, cf. the Danish Excutive Order on CO2 Allowances, section 21 (1) no. 4 - failing to disclose information or provides incorrect or misleading information which is of significance for case processing by the authorities pursuant to the Act on CO2 Allowances, regulation issued pursuant to the Act or EU legislation pertaining to matters covered by the Act on CO2 Allowances, or which has an effect on the authorities decisions pursuant to the Act on CO2 Allowances, regulation issued pursuant to the Act or EU legislation pertaining to matters covered by the Act on CO2 Allowances, or which is of significance for fees management, cf. the Danish Act on CO2 Allowances, section 32 (1) no. 5, A fine will according to the Danish law on CO2-Allowances, Executive Orders pursuant to the Act and normal legal rules and principles in the Danish legal system be settled by court decision.</t>
  </si>
  <si>
    <t>A fine and imprisonmment will according to the Danish law on CO2-Allowances and normal legal rules and principles in the Danish legal system be settled by court decision. The maximum penalties is in imprisonment terms imprisonment up to 24 months, unless more severe punishment is incurred under other legislation, cf. section 32 of the Danish law on CO2-Allowances.</t>
  </si>
  <si>
    <t xml:space="preserve">The National Administrator conducts transactions analysis of all accounts. The frequency is based on a risk assessment. The tax authority has read only access to the registry, per law. If the NA suspects fraudulent activities, the NA (the Danish Business Authority) reports this to the Danish FIU, other relevant competent authorities, as well as the Danish Energy Agency. In that case the NA will provide the FIU information about the following: 1. Account holder and all account representatives 2. Account number of all involved accounts 3. Type of transaction(s) and 4. Number of units (emissions/credits) as well as any information required by the FIU. NA may suspend access to the account as permitted by the registry regulation, which may be extended at the request of the FIU. 
If the NA is informed about a court ruling or proceedings, which relates to an operator holding account or an aircraft operator holding account, the NA informs the competent authority and vice versa. 
Criminal cases would not be settled out of court.
As the NA is part of the Danish Business Authority, the NA has access to company information including suspicion of fraud and verdicts. Otherwise, criminal records shall be provided in the case of account representatives at least every five years.
</t>
  </si>
  <si>
    <t>Total emissions include emissions from fossil and biomass fuels as well as proces emissions.</t>
  </si>
  <si>
    <t>Not filled because of no ocurences</t>
  </si>
  <si>
    <t>AO small emitters decided against using EUCTR SET this year due to significant overestimation of emissions(COVID &amp; less load) incurring higher costs compared to using method B and a formal verification</t>
  </si>
  <si>
    <t>CA will kindly remind AOs if improvement reports are not forwarded before 30th June in acc. MRV Art.69 4.</t>
  </si>
  <si>
    <t>Possible error in template, it is not possible to write 0 in the question "Number of aircraft operators that submitted an improvement report in practice".</t>
  </si>
  <si>
    <t xml:space="preserve">6 Verifications where indeed performed virtually despite three specific CA warnings in this respect. Twice the verifier was informed and guided on the application of AVR art. 34 and its non-applicability in Denmark. Neither generic nor individual approval were given. The AVR workprogram indicated virtual site visits but, upon responce from CA, it was changed to only include visits performed as physically. Hence acc. AVR art. 73 a complaint has been forwarded by the CA to the NAB.  </t>
  </si>
  <si>
    <t>Error in template. It is not possible to use two letter code for member states. The template only allows numbers, therefore the answer is submitted here:
Verifier accredited by a national accreditation body in another Member State that carried out verification in our Member State - member state of accreditation for installations: SWE.
Verifier accredited by a national accreditation body in another Member State that carried out verification in our Member State - member state of accreditation for installations: FR.</t>
  </si>
  <si>
    <t>Questions regarding tonne-kilometer reports not filled because of no ocurences.</t>
  </si>
  <si>
    <t>"Number of outstanding non-conformities for verifiers reported in the information exchange and the number that have been resolved": Last years article 21 report incorrectly stated 6 non-conformaties.</t>
  </si>
  <si>
    <t>Name off file attached: Executive_order_no._1637_of_november_18_2020_on_the_union_registry_and_the_danish_kyoto_registry.pdf</t>
  </si>
  <si>
    <t>No ocurrences</t>
  </si>
  <si>
    <t>Not applicable, no cases</t>
  </si>
  <si>
    <t>Most issued verifications reports only referred to art. 31 and 32 with no further information on subparagraphs/points included in the verification reports. We will communicate the need to include specifics in this regard to verifiers and ensure that future verifications include these specificationss. We note a total of 55 installation for which the verifier waived the site visits.</t>
  </si>
  <si>
    <t xml:space="preserve">We have not yet imposed sanctions after these regulations. ALC and MMP obligations entered into force since jan 1'st 2021, therefore operators who failed to submit the relevant reports did not recieve allowences. </t>
  </si>
  <si>
    <t xml:space="preserve">Annual fees are differentiated as follows: Installations who are recieving free allowances in category C: 14139 € (106043 DKK), B: 11040 € (82801 DKK), A: 7941 (59559 DKK), low emissions: 4842 (36316 DKK), installations that are not recieving free allowances: Installations in category C: 11912 € (89.338 DKK), B: 9151 € (68638 DKK), A: 6392 (47937 DKK), low emissions: 3632 (27237 DKK). Average fee charged 4.854 (36.408). This also applies to Q9.2. </t>
  </si>
  <si>
    <t>Account fees established in Executive Order no. 1637 of 18 November 2020 12. The annual fee for having an account with the EU's ETS Registry is as follows: 1) DKK 5,250 for an operator holding account and DKK 0.20 per allocated free allowances. 2) DKK 5,250 for an aircraft operator holding account and DKK 0.20 per allocated free allowances. 3) DKK 3,600 for a verifier account. 4) DKK 5,250 for a trading account. 5) DKK 5,250 for a personal holding account. 6) DKK 2,910 for an auction delivery account. 7) DKK 13,950 for an external trading platform account. (2). The annual fee for having a personal holding account in The Danish Kyoto Registry is DKK 5,250. (3). The annual fee for keeping CO2 allowances or Kyoto units in a national holding account, cf. the regulation, Article 32 (1), is DKK 30,000. The fee is chargeable to the previous account holder. (4). The Danish Business Authority charges the fees once annually in the middle of the year. The fee is charged for the current calendar year for the accounts that are open and active on 1 July in that respective year, and they are charged regardless of whether the account is open for the full calendar year. 13. When setting up an account indicated in Section 12(1) point 3-7 and subsection (2) and (3), the Danish Business Authority charges a fee corresponding to the annual fee for the respective account type. The payment of the fee is a prerequisite for creating an account. The fee applies to the creation of the account as well as for the remaining part of this calendar year. (2). If a notification of account creation does not lead to the creation of an account, a fee shall not be paid. 14. Fees in accordance with Sections 12 and 13, as well as payment in accordance with Section 19(4), shall be due for payment by the date specified by the Danish Business Authority. (2). Payment of fees must take place using the collection method issued by Danish Business Authority. The Authority can reject other forms of payment, e.g. payment by cheque or cash. (3). In case of late payment, a reminder fee of DKK 100 will be charged to cover the costs of the Danish Business Authority in connection with the reminder procedure. If the account fee or the costs plus the reminder fee are still not paid, the fee or the costs will be sent to debt collection and the Danish Business Authority may close or suspend access to the account.</t>
  </si>
  <si>
    <t xml:space="preserve">The operator has appealed the court decision. The appeal-proceedings are expected to be finalisied during 2023. </t>
  </si>
  <si>
    <t>The aircraft operator went bankrupt during the reporting year. The estate admistrator was notified on obligations but due to lack of knowledge, didn't meet the reporting deadline. Due to national bankrupcy law, we are not imposing any penalties to the bankrupcy estate.</t>
  </si>
  <si>
    <t>Question 6.10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</si>
</sst>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203"/>
  <sheetViews>
    <sheetView topLeftCell="A1181" workbookViewId="0">
      <selection activeCell="A1203" sqref="A1203"/>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1</v>
      </c>
      <c r="E10" t="s">
        <v>1447</v>
      </c>
      <c r="F10" t="s">
        <v>1752</v>
      </c>
      <c r="G10" t="s">
        <v>1741</v>
      </c>
      <c r="H10" t="s">
        <v>2286</v>
      </c>
      <c r="I10" t="s">
        <v>2279</v>
      </c>
      <c r="J10" t="s">
        <v>2279</v>
      </c>
      <c r="K10" t="s">
        <v>2279</v>
      </c>
      <c r="L10" t="s">
        <v>2279</v>
      </c>
      <c r="M10" t="s">
        <v>2279</v>
      </c>
      <c r="N10" t="s">
        <v>2279</v>
      </c>
      <c r="O10" s="190" t="str">
        <f>"["&amp;$C10&amp;"]["&amp;$D10&amp;"]["&amp;$F10&amp;"]"</f>
        <v>[S02_CompetentAuthority][1][CAAbbreviation]</v>
      </c>
    </row>
    <row r="11" spans="1:18" x14ac:dyDescent="0.3">
      <c r="A11" t="s">
        <v>2277</v>
      </c>
      <c r="B11" t="s">
        <v>1749</v>
      </c>
      <c r="C11" t="s">
        <v>1750</v>
      </c>
      <c r="D11">
        <v>1</v>
      </c>
      <c r="E11" t="s">
        <v>1447</v>
      </c>
      <c r="F11" t="s">
        <v>1753</v>
      </c>
      <c r="G11" t="s">
        <v>1741</v>
      </c>
      <c r="H11" t="s">
        <v>1422</v>
      </c>
      <c r="I11" t="s">
        <v>2279</v>
      </c>
      <c r="J11" t="s">
        <v>2279</v>
      </c>
      <c r="K11" t="s">
        <v>2279</v>
      </c>
      <c r="L11" t="s">
        <v>2279</v>
      </c>
      <c r="M11" t="s">
        <v>2279</v>
      </c>
      <c r="N11" t="s">
        <v>2279</v>
      </c>
      <c r="O11" s="190" t="str">
        <f>"["&amp;$C11&amp;"]["&amp;$D11&amp;"]["&amp;$F11&amp;"]"</f>
        <v>[S02_CompetentAuthority][1][CAType]</v>
      </c>
    </row>
    <row r="12" spans="1:18" x14ac:dyDescent="0.3">
      <c r="A12" t="s">
        <v>2277</v>
      </c>
      <c r="B12" t="s">
        <v>1749</v>
      </c>
      <c r="C12" t="s">
        <v>1750</v>
      </c>
      <c r="D12">
        <v>1</v>
      </c>
      <c r="E12" t="s">
        <v>1447</v>
      </c>
      <c r="F12" t="s">
        <v>1755</v>
      </c>
      <c r="G12" t="s">
        <v>1741</v>
      </c>
      <c r="H12" t="s">
        <v>2287</v>
      </c>
      <c r="I12" t="s">
        <v>2279</v>
      </c>
      <c r="J12" t="s">
        <v>2279</v>
      </c>
      <c r="K12" t="s">
        <v>2279</v>
      </c>
      <c r="L12" t="s">
        <v>2279</v>
      </c>
      <c r="M12" t="s">
        <v>2279</v>
      </c>
      <c r="N12" t="s">
        <v>2279</v>
      </c>
      <c r="O12" s="190" t="str">
        <f>"["&amp;$C12&amp;"]["&amp;$D12&amp;"]["&amp;$F12&amp;"]"</f>
        <v>[S02_CompetentAuthority][1][CATelephone]</v>
      </c>
    </row>
    <row r="13" spans="1:18" x14ac:dyDescent="0.3">
      <c r="A13" t="s">
        <v>2277</v>
      </c>
      <c r="B13" t="s">
        <v>1749</v>
      </c>
      <c r="C13" t="s">
        <v>1750</v>
      </c>
      <c r="D13">
        <v>1</v>
      </c>
      <c r="E13" t="s">
        <v>1447</v>
      </c>
      <c r="F13" t="s">
        <v>1756</v>
      </c>
      <c r="G13" t="s">
        <v>1741</v>
      </c>
      <c r="H13" t="s">
        <v>2288</v>
      </c>
      <c r="I13" t="s">
        <v>2279</v>
      </c>
      <c r="J13" t="s">
        <v>2279</v>
      </c>
      <c r="K13" t="s">
        <v>2279</v>
      </c>
      <c r="L13" t="s">
        <v>2279</v>
      </c>
      <c r="M13" t="s">
        <v>2279</v>
      </c>
      <c r="N13" t="s">
        <v>2279</v>
      </c>
      <c r="O13" s="190" t="str">
        <f>"["&amp;$C13&amp;"]["&amp;$D13&amp;"]["&amp;$F13&amp;"]"</f>
        <v>[S02_CompetentAuthority][1][CAEmail]</v>
      </c>
    </row>
    <row r="14" spans="1:18" x14ac:dyDescent="0.3">
      <c r="A14" t="s">
        <v>2277</v>
      </c>
      <c r="B14" t="s">
        <v>1749</v>
      </c>
      <c r="C14" t="s">
        <v>1750</v>
      </c>
      <c r="D14">
        <v>1</v>
      </c>
      <c r="E14" t="s">
        <v>1447</v>
      </c>
      <c r="F14" t="s">
        <v>1757</v>
      </c>
      <c r="G14" t="s">
        <v>1741</v>
      </c>
      <c r="H14" t="s">
        <v>2289</v>
      </c>
      <c r="I14" t="s">
        <v>2279</v>
      </c>
      <c r="J14" t="s">
        <v>2279</v>
      </c>
      <c r="K14" t="s">
        <v>2279</v>
      </c>
      <c r="L14" t="s">
        <v>2279</v>
      </c>
      <c r="M14" t="s">
        <v>2279</v>
      </c>
      <c r="N14" t="s">
        <v>2279</v>
      </c>
      <c r="O14" s="190" t="str">
        <f>"["&amp;$C14&amp;"]["&amp;$D14&amp;"]["&amp;$F14&amp;"]"</f>
        <v>[S02_CompetentAuthority][1][CAWebsite]</v>
      </c>
    </row>
    <row r="15" spans="1:18" x14ac:dyDescent="0.3">
      <c r="A15" t="s">
        <v>2277</v>
      </c>
      <c r="B15" t="s">
        <v>1749</v>
      </c>
      <c r="C15" t="s">
        <v>1758</v>
      </c>
      <c r="D15">
        <v>0</v>
      </c>
      <c r="E15" t="s">
        <v>1447</v>
      </c>
      <c r="F15" t="s">
        <v>1758</v>
      </c>
      <c r="G15" t="s">
        <v>1759</v>
      </c>
      <c r="H15" t="s">
        <v>2279</v>
      </c>
      <c r="I15" t="s">
        <v>2279</v>
      </c>
      <c r="J15" t="s">
        <v>2279</v>
      </c>
      <c r="K15" t="s">
        <v>2279</v>
      </c>
      <c r="L15" t="s">
        <v>1419</v>
      </c>
      <c r="M15" t="s">
        <v>2279</v>
      </c>
      <c r="N15" t="s">
        <v>2279</v>
      </c>
      <c r="O15" s="190" t="str">
        <f>"["&amp;$C15&amp;"]["&amp;$D15&amp;"]["&amp;$F15&amp;"]"</f>
        <v>[S02_AccreditationBodyYesNo][0][S02_AccreditationBodyYesNo]</v>
      </c>
    </row>
    <row r="16" spans="1:18" x14ac:dyDescent="0.3">
      <c r="A16" t="s">
        <v>2277</v>
      </c>
      <c r="B16" t="s">
        <v>1749</v>
      </c>
      <c r="C16" t="s">
        <v>1760</v>
      </c>
      <c r="D16">
        <v>1</v>
      </c>
      <c r="E16" t="s">
        <v>1447</v>
      </c>
      <c r="F16" t="s">
        <v>1761</v>
      </c>
      <c r="G16" t="s">
        <v>1741</v>
      </c>
      <c r="H16" t="s">
        <v>2290</v>
      </c>
      <c r="I16" t="s">
        <v>2279</v>
      </c>
      <c r="J16" t="s">
        <v>2279</v>
      </c>
      <c r="K16" t="s">
        <v>2279</v>
      </c>
      <c r="L16" t="s">
        <v>2279</v>
      </c>
      <c r="M16" t="s">
        <v>2279</v>
      </c>
      <c r="N16" t="s">
        <v>2279</v>
      </c>
      <c r="O16" s="190" t="str">
        <f>"["&amp;$C16&amp;"]["&amp;$D16&amp;"]["&amp;$F16&amp;"]"</f>
        <v>[S02_AccreditationBody][1][AccBodyName]</v>
      </c>
    </row>
    <row r="17" spans="1:15" x14ac:dyDescent="0.3">
      <c r="A17" t="s">
        <v>2277</v>
      </c>
      <c r="B17" t="s">
        <v>1749</v>
      </c>
      <c r="C17" t="s">
        <v>1760</v>
      </c>
      <c r="D17">
        <v>1</v>
      </c>
      <c r="E17" t="s">
        <v>1447</v>
      </c>
      <c r="F17" t="s">
        <v>1762</v>
      </c>
      <c r="G17" t="s">
        <v>1741</v>
      </c>
      <c r="H17" t="s">
        <v>2291</v>
      </c>
      <c r="I17" t="s">
        <v>2279</v>
      </c>
      <c r="J17" t="s">
        <v>2279</v>
      </c>
      <c r="K17" t="s">
        <v>2279</v>
      </c>
      <c r="L17" t="s">
        <v>2279</v>
      </c>
      <c r="M17" t="s">
        <v>2279</v>
      </c>
      <c r="N17" t="s">
        <v>2279</v>
      </c>
      <c r="O17" s="190" t="str">
        <f>"["&amp;$C17&amp;"]["&amp;$D17&amp;"]["&amp;$F17&amp;"]"</f>
        <v>[S02_AccreditationBody][1][AccBodyAbbreviation]</v>
      </c>
    </row>
    <row r="18" spans="1:15" x14ac:dyDescent="0.3">
      <c r="A18" t="s">
        <v>2277</v>
      </c>
      <c r="B18" t="s">
        <v>1749</v>
      </c>
      <c r="C18" t="s">
        <v>1760</v>
      </c>
      <c r="D18">
        <v>1</v>
      </c>
      <c r="E18" t="s">
        <v>1447</v>
      </c>
      <c r="F18" t="s">
        <v>1763</v>
      </c>
      <c r="G18" t="s">
        <v>1741</v>
      </c>
      <c r="H18" t="s">
        <v>2292</v>
      </c>
      <c r="I18" t="s">
        <v>2279</v>
      </c>
      <c r="J18" t="s">
        <v>2279</v>
      </c>
      <c r="K18" t="s">
        <v>2279</v>
      </c>
      <c r="L18" t="s">
        <v>2279</v>
      </c>
      <c r="M18" t="s">
        <v>2279</v>
      </c>
      <c r="N18" t="s">
        <v>2279</v>
      </c>
      <c r="O18" s="190" t="str">
        <f>"["&amp;$C18&amp;"]["&amp;$D18&amp;"]["&amp;$F18&amp;"]"</f>
        <v>[S02_AccreditationBody][1][AccBodyTelephone]</v>
      </c>
    </row>
    <row r="19" spans="1:15" x14ac:dyDescent="0.3">
      <c r="A19" t="s">
        <v>2277</v>
      </c>
      <c r="B19" t="s">
        <v>1749</v>
      </c>
      <c r="C19" t="s">
        <v>1760</v>
      </c>
      <c r="D19">
        <v>1</v>
      </c>
      <c r="E19" t="s">
        <v>1447</v>
      </c>
      <c r="F19" t="s">
        <v>1764</v>
      </c>
      <c r="G19" t="s">
        <v>1741</v>
      </c>
      <c r="H19" t="s">
        <v>2293</v>
      </c>
      <c r="I19" t="s">
        <v>2279</v>
      </c>
      <c r="J19" t="s">
        <v>2279</v>
      </c>
      <c r="K19" t="s">
        <v>2279</v>
      </c>
      <c r="L19" t="s">
        <v>2279</v>
      </c>
      <c r="M19" t="s">
        <v>2279</v>
      </c>
      <c r="N19" t="s">
        <v>2279</v>
      </c>
      <c r="O19" s="190" t="str">
        <f>"["&amp;$C19&amp;"]["&amp;$D19&amp;"]["&amp;$F19&amp;"]"</f>
        <v>[S02_AccreditationBody][1][AccBodyEmail]</v>
      </c>
    </row>
    <row r="20" spans="1:15" x14ac:dyDescent="0.3">
      <c r="A20" t="s">
        <v>2277</v>
      </c>
      <c r="B20" t="s">
        <v>1749</v>
      </c>
      <c r="C20" t="s">
        <v>1760</v>
      </c>
      <c r="D20">
        <v>1</v>
      </c>
      <c r="E20" t="s">
        <v>1447</v>
      </c>
      <c r="F20" t="s">
        <v>1765</v>
      </c>
      <c r="G20" t="s">
        <v>1741</v>
      </c>
      <c r="H20" t="s">
        <v>2294</v>
      </c>
      <c r="I20" t="s">
        <v>2279</v>
      </c>
      <c r="J20" t="s">
        <v>2279</v>
      </c>
      <c r="K20" t="s">
        <v>2279</v>
      </c>
      <c r="L20" t="s">
        <v>2279</v>
      </c>
      <c r="M20" t="s">
        <v>2279</v>
      </c>
      <c r="N20" t="s">
        <v>2279</v>
      </c>
      <c r="O20" s="190" t="str">
        <f>"["&amp;$C20&amp;"]["&amp;$D20&amp;"]["&amp;$F20&amp;"]"</f>
        <v>[S02_AccreditationBody][1][AccBodyWebsite]</v>
      </c>
    </row>
    <row r="21" spans="1:15" x14ac:dyDescent="0.3">
      <c r="A21" t="s">
        <v>2277</v>
      </c>
      <c r="B21" t="s">
        <v>1749</v>
      </c>
      <c r="C21" t="s">
        <v>1766</v>
      </c>
      <c r="D21">
        <v>0</v>
      </c>
      <c r="E21" t="s">
        <v>1447</v>
      </c>
      <c r="F21" t="s">
        <v>1766</v>
      </c>
      <c r="G21" t="s">
        <v>1759</v>
      </c>
      <c r="H21" t="s">
        <v>2279</v>
      </c>
      <c r="I21" t="s">
        <v>2279</v>
      </c>
      <c r="J21" t="s">
        <v>2279</v>
      </c>
      <c r="K21" t="s">
        <v>2279</v>
      </c>
      <c r="L21" t="s">
        <v>1447</v>
      </c>
      <c r="M21" t="s">
        <v>2279</v>
      </c>
      <c r="N21" t="s">
        <v>2279</v>
      </c>
      <c r="O21" s="190" t="str">
        <f>"["&amp;$C21&amp;"]["&amp;$D21&amp;"]["&amp;$F21&amp;"]"</f>
        <v>[CertificationBodySetUp][0][CertificationBodySetUp]</v>
      </c>
    </row>
    <row r="22" spans="1:15" x14ac:dyDescent="0.3">
      <c r="A22" t="s">
        <v>2277</v>
      </c>
      <c r="B22" t="s">
        <v>1749</v>
      </c>
      <c r="C22" t="s">
        <v>1773</v>
      </c>
      <c r="D22">
        <v>1</v>
      </c>
      <c r="E22" t="s">
        <v>1447</v>
      </c>
      <c r="F22" t="s">
        <v>1774</v>
      </c>
      <c r="G22" t="s">
        <v>1741</v>
      </c>
      <c r="H22" t="s">
        <v>2295</v>
      </c>
      <c r="I22" t="s">
        <v>2279</v>
      </c>
      <c r="J22" t="s">
        <v>2279</v>
      </c>
      <c r="K22" t="s">
        <v>2279</v>
      </c>
      <c r="L22" t="s">
        <v>2279</v>
      </c>
      <c r="M22" t="s">
        <v>2279</v>
      </c>
      <c r="N22" t="s">
        <v>2279</v>
      </c>
      <c r="O22" s="190" t="str">
        <f>"["&amp;$C22&amp;"]["&amp;$D22&amp;"]["&amp;$F22&amp;"]"</f>
        <v>[S02_RegistryAdministrator][1][RegAdminName]</v>
      </c>
    </row>
    <row r="23" spans="1:15" x14ac:dyDescent="0.3">
      <c r="A23" t="s">
        <v>2277</v>
      </c>
      <c r="B23" t="s">
        <v>1749</v>
      </c>
      <c r="C23" t="s">
        <v>1773</v>
      </c>
      <c r="D23">
        <v>1</v>
      </c>
      <c r="E23" t="s">
        <v>1447</v>
      </c>
      <c r="F23" t="s">
        <v>1775</v>
      </c>
      <c r="G23" t="s">
        <v>1741</v>
      </c>
      <c r="H23" t="s">
        <v>2296</v>
      </c>
      <c r="I23" t="s">
        <v>2279</v>
      </c>
      <c r="J23" t="s">
        <v>2279</v>
      </c>
      <c r="K23" t="s">
        <v>2279</v>
      </c>
      <c r="L23" t="s">
        <v>2279</v>
      </c>
      <c r="M23" t="s">
        <v>2279</v>
      </c>
      <c r="N23" t="s">
        <v>2279</v>
      </c>
      <c r="O23" s="190" t="str">
        <f>"["&amp;$C23&amp;"]["&amp;$D23&amp;"]["&amp;$F23&amp;"]"</f>
        <v>[S02_RegistryAdministrator][1][RegAdminAbbreviation]</v>
      </c>
    </row>
    <row r="24" spans="1:15" x14ac:dyDescent="0.3">
      <c r="A24" t="s">
        <v>2277</v>
      </c>
      <c r="B24" t="s">
        <v>1749</v>
      </c>
      <c r="C24" t="s">
        <v>1773</v>
      </c>
      <c r="D24">
        <v>1</v>
      </c>
      <c r="E24" t="s">
        <v>1447</v>
      </c>
      <c r="F24" t="s">
        <v>1776</v>
      </c>
      <c r="G24" t="s">
        <v>1741</v>
      </c>
      <c r="H24" t="s">
        <v>2297</v>
      </c>
      <c r="I24" t="s">
        <v>2279</v>
      </c>
      <c r="J24" t="s">
        <v>2279</v>
      </c>
      <c r="K24" t="s">
        <v>2279</v>
      </c>
      <c r="L24" t="s">
        <v>2279</v>
      </c>
      <c r="M24" t="s">
        <v>2279</v>
      </c>
      <c r="N24" t="s">
        <v>2279</v>
      </c>
      <c r="O24" s="190" t="str">
        <f>"["&amp;$C24&amp;"]["&amp;$D24&amp;"]["&amp;$F24&amp;"]"</f>
        <v>[S02_RegistryAdministrator][1][RegAdminTelephone]</v>
      </c>
    </row>
    <row r="25" spans="1:15" x14ac:dyDescent="0.3">
      <c r="A25" t="s">
        <v>2277</v>
      </c>
      <c r="B25" t="s">
        <v>1749</v>
      </c>
      <c r="C25" t="s">
        <v>1773</v>
      </c>
      <c r="D25">
        <v>1</v>
      </c>
      <c r="E25" t="s">
        <v>1447</v>
      </c>
      <c r="F25" t="s">
        <v>1777</v>
      </c>
      <c r="G25" t="s">
        <v>1741</v>
      </c>
      <c r="H25" t="s">
        <v>2298</v>
      </c>
      <c r="I25" t="s">
        <v>2279</v>
      </c>
      <c r="J25" t="s">
        <v>2279</v>
      </c>
      <c r="K25" t="s">
        <v>2279</v>
      </c>
      <c r="L25" t="s">
        <v>2279</v>
      </c>
      <c r="M25" t="s">
        <v>2279</v>
      </c>
      <c r="N25" t="s">
        <v>2279</v>
      </c>
      <c r="O25" s="190" t="str">
        <f>"["&amp;$C25&amp;"]["&amp;$D25&amp;"]["&amp;$F25&amp;"]"</f>
        <v>[S02_RegistryAdministrator][1][RegAdminEmail]</v>
      </c>
    </row>
    <row r="26" spans="1:15" x14ac:dyDescent="0.3">
      <c r="A26" t="s">
        <v>2277</v>
      </c>
      <c r="B26" t="s">
        <v>1749</v>
      </c>
      <c r="C26" t="s">
        <v>1773</v>
      </c>
      <c r="D26">
        <v>1</v>
      </c>
      <c r="E26" t="s">
        <v>1447</v>
      </c>
      <c r="F26" t="s">
        <v>1778</v>
      </c>
      <c r="G26" t="s">
        <v>1741</v>
      </c>
      <c r="H26" t="s">
        <v>2299</v>
      </c>
      <c r="I26" t="s">
        <v>2279</v>
      </c>
      <c r="J26" t="s">
        <v>2279</v>
      </c>
      <c r="K26" t="s">
        <v>2279</v>
      </c>
      <c r="L26" t="s">
        <v>2279</v>
      </c>
      <c r="M26" t="s">
        <v>2279</v>
      </c>
      <c r="N26" t="s">
        <v>2279</v>
      </c>
      <c r="O26" s="190" t="str">
        <f>"["&amp;$C26&amp;"]["&amp;$D26&amp;"]["&amp;$F26&amp;"]"</f>
        <v>[S02_RegistryAdministrator][1][RegAdminWebsite]</v>
      </c>
    </row>
    <row r="27" spans="1:15" x14ac:dyDescent="0.3">
      <c r="A27" t="s">
        <v>2277</v>
      </c>
      <c r="B27" t="s">
        <v>1779</v>
      </c>
      <c r="C27" t="s">
        <v>1780</v>
      </c>
      <c r="D27">
        <v>1</v>
      </c>
      <c r="E27" t="s">
        <v>1447</v>
      </c>
      <c r="F27" t="s">
        <v>1781</v>
      </c>
      <c r="G27" t="s">
        <v>1741</v>
      </c>
      <c r="H27" t="s">
        <v>2286</v>
      </c>
      <c r="I27" t="s">
        <v>2279</v>
      </c>
      <c r="J27" t="s">
        <v>2279</v>
      </c>
      <c r="K27" t="s">
        <v>2279</v>
      </c>
      <c r="L27" t="s">
        <v>2279</v>
      </c>
      <c r="M27" t="s">
        <v>2279</v>
      </c>
      <c r="N27" t="s">
        <v>2279</v>
      </c>
      <c r="O27" s="190" t="str">
        <f>"["&amp;$C27&amp;"]["&amp;$D27&amp;"]["&amp;$F27&amp;"]"</f>
        <v>[S02_CompetentAuthorityRoles][1][CAForInstallationTask]</v>
      </c>
    </row>
    <row r="28" spans="1:15" x14ac:dyDescent="0.3">
      <c r="A28" t="s">
        <v>2277</v>
      </c>
      <c r="B28" t="s">
        <v>1779</v>
      </c>
      <c r="C28" t="s">
        <v>1780</v>
      </c>
      <c r="D28">
        <v>2</v>
      </c>
      <c r="E28" t="s">
        <v>1447</v>
      </c>
      <c r="F28" t="s">
        <v>1781</v>
      </c>
      <c r="G28" t="s">
        <v>1741</v>
      </c>
      <c r="H28" t="s">
        <v>2286</v>
      </c>
      <c r="I28" t="s">
        <v>2279</v>
      </c>
      <c r="J28" t="s">
        <v>2279</v>
      </c>
      <c r="K28" t="s">
        <v>2279</v>
      </c>
      <c r="L28" t="s">
        <v>2279</v>
      </c>
      <c r="M28" t="s">
        <v>2279</v>
      </c>
      <c r="N28" t="s">
        <v>2279</v>
      </c>
      <c r="O28" s="190" t="str">
        <f>"["&amp;$C28&amp;"]["&amp;$D28&amp;"]["&amp;$F28&amp;"]"</f>
        <v>[S02_CompetentAuthorityRoles][2][CAForInstallationTask]</v>
      </c>
    </row>
    <row r="29" spans="1:15" x14ac:dyDescent="0.3">
      <c r="A29" t="s">
        <v>2277</v>
      </c>
      <c r="B29" t="s">
        <v>1779</v>
      </c>
      <c r="C29" t="s">
        <v>1780</v>
      </c>
      <c r="D29">
        <v>3</v>
      </c>
      <c r="E29" t="s">
        <v>1447</v>
      </c>
      <c r="F29" t="s">
        <v>1781</v>
      </c>
      <c r="G29" t="s">
        <v>1741</v>
      </c>
      <c r="H29" t="s">
        <v>2286</v>
      </c>
      <c r="I29" t="s">
        <v>2279</v>
      </c>
      <c r="J29" t="s">
        <v>2279</v>
      </c>
      <c r="K29" t="s">
        <v>2279</v>
      </c>
      <c r="L29" t="s">
        <v>2279</v>
      </c>
      <c r="M29" t="s">
        <v>2279</v>
      </c>
      <c r="N29" t="s">
        <v>2279</v>
      </c>
      <c r="O29" s="190" t="str">
        <f>"["&amp;$C29&amp;"]["&amp;$D29&amp;"]["&amp;$F29&amp;"]"</f>
        <v>[S02_CompetentAuthorityRoles][3][CAForInstallationTask]</v>
      </c>
    </row>
    <row r="30" spans="1:15" x14ac:dyDescent="0.3">
      <c r="A30" t="s">
        <v>2277</v>
      </c>
      <c r="B30" t="s">
        <v>1779</v>
      </c>
      <c r="C30" t="s">
        <v>1780</v>
      </c>
      <c r="D30">
        <v>4</v>
      </c>
      <c r="E30" t="s">
        <v>1447</v>
      </c>
      <c r="F30" t="s">
        <v>1781</v>
      </c>
      <c r="G30" t="s">
        <v>1741</v>
      </c>
      <c r="H30" t="s">
        <v>2286</v>
      </c>
      <c r="I30" t="s">
        <v>2279</v>
      </c>
      <c r="J30" t="s">
        <v>2279</v>
      </c>
      <c r="K30" t="s">
        <v>2279</v>
      </c>
      <c r="L30" t="s">
        <v>2279</v>
      </c>
      <c r="M30" t="s">
        <v>2279</v>
      </c>
      <c r="N30" t="s">
        <v>2279</v>
      </c>
      <c r="O30" s="190" t="str">
        <f>"["&amp;$C30&amp;"]["&amp;$D30&amp;"]["&amp;$F30&amp;"]"</f>
        <v>[S02_CompetentAuthorityRoles][4][CAForInstallationTask]</v>
      </c>
    </row>
    <row r="31" spans="1:15" x14ac:dyDescent="0.3">
      <c r="A31" t="s">
        <v>2277</v>
      </c>
      <c r="B31" t="s">
        <v>1779</v>
      </c>
      <c r="C31" t="s">
        <v>1780</v>
      </c>
      <c r="D31">
        <v>6</v>
      </c>
      <c r="E31" t="s">
        <v>1447</v>
      </c>
      <c r="F31" t="s">
        <v>1781</v>
      </c>
      <c r="G31" t="s">
        <v>1741</v>
      </c>
      <c r="H31" t="s">
        <v>2286</v>
      </c>
      <c r="I31" t="s">
        <v>2279</v>
      </c>
      <c r="J31" t="s">
        <v>2279</v>
      </c>
      <c r="K31" t="s">
        <v>2279</v>
      </c>
      <c r="L31" t="s">
        <v>2279</v>
      </c>
      <c r="M31" t="s">
        <v>2279</v>
      </c>
      <c r="N31" t="s">
        <v>2279</v>
      </c>
      <c r="O31" s="190" t="str">
        <f>"["&amp;$C31&amp;"]["&amp;$D31&amp;"]["&amp;$F31&amp;"]"</f>
        <v>[S02_CompetentAuthorityRoles][6][CAForInstallationTask]</v>
      </c>
    </row>
    <row r="32" spans="1:15" x14ac:dyDescent="0.3">
      <c r="A32" t="s">
        <v>2277</v>
      </c>
      <c r="B32" t="s">
        <v>1779</v>
      </c>
      <c r="C32" t="s">
        <v>1780</v>
      </c>
      <c r="D32">
        <v>7</v>
      </c>
      <c r="E32" t="s">
        <v>1447</v>
      </c>
      <c r="F32" t="s">
        <v>1781</v>
      </c>
      <c r="G32" t="s">
        <v>1741</v>
      </c>
      <c r="H32" t="s">
        <v>2286</v>
      </c>
      <c r="I32" t="s">
        <v>2279</v>
      </c>
      <c r="J32" t="s">
        <v>2279</v>
      </c>
      <c r="K32" t="s">
        <v>2279</v>
      </c>
      <c r="L32" t="s">
        <v>2279</v>
      </c>
      <c r="M32" t="s">
        <v>2279</v>
      </c>
      <c r="N32" t="s">
        <v>2279</v>
      </c>
      <c r="O32" s="190" t="str">
        <f>"["&amp;$C32&amp;"]["&amp;$D32&amp;"]["&amp;$F32&amp;"]"</f>
        <v>[S02_CompetentAuthorityRoles][7][CAForInstallationTask]</v>
      </c>
    </row>
    <row r="33" spans="1:15" x14ac:dyDescent="0.3">
      <c r="A33" t="s">
        <v>2277</v>
      </c>
      <c r="B33" t="s">
        <v>1779</v>
      </c>
      <c r="C33" t="s">
        <v>1780</v>
      </c>
      <c r="D33">
        <v>8</v>
      </c>
      <c r="E33" t="s">
        <v>1447</v>
      </c>
      <c r="F33" t="s">
        <v>1781</v>
      </c>
      <c r="G33" t="s">
        <v>1741</v>
      </c>
      <c r="H33" t="s">
        <v>2286</v>
      </c>
      <c r="I33" t="s">
        <v>2279</v>
      </c>
      <c r="J33" t="s">
        <v>2279</v>
      </c>
      <c r="K33" t="s">
        <v>2279</v>
      </c>
      <c r="L33" t="s">
        <v>2279</v>
      </c>
      <c r="M33" t="s">
        <v>2279</v>
      </c>
      <c r="N33" t="s">
        <v>2279</v>
      </c>
      <c r="O33" s="190" t="str">
        <f>"["&amp;$C33&amp;"]["&amp;$D33&amp;"]["&amp;$F33&amp;"]"</f>
        <v>[S02_CompetentAuthorityRoles][8][CAForInstallationTask]</v>
      </c>
    </row>
    <row r="34" spans="1:15" x14ac:dyDescent="0.3">
      <c r="A34" t="s">
        <v>2277</v>
      </c>
      <c r="B34" t="s">
        <v>1779</v>
      </c>
      <c r="C34" t="s">
        <v>1780</v>
      </c>
      <c r="D34">
        <v>9</v>
      </c>
      <c r="E34" t="s">
        <v>1447</v>
      </c>
      <c r="F34" t="s">
        <v>1781</v>
      </c>
      <c r="G34" t="s">
        <v>1741</v>
      </c>
      <c r="H34" t="s">
        <v>2286</v>
      </c>
      <c r="I34" t="s">
        <v>2279</v>
      </c>
      <c r="J34" t="s">
        <v>2279</v>
      </c>
      <c r="K34" t="s">
        <v>2279</v>
      </c>
      <c r="L34" t="s">
        <v>2279</v>
      </c>
      <c r="M34" t="s">
        <v>2279</v>
      </c>
      <c r="N34" t="s">
        <v>2279</v>
      </c>
      <c r="O34" s="190" t="str">
        <f>"["&amp;$C34&amp;"]["&amp;$D34&amp;"]["&amp;$F34&amp;"]"</f>
        <v>[S02_CompetentAuthorityRoles][9][CAForInstallationTask]</v>
      </c>
    </row>
    <row r="35" spans="1:15" x14ac:dyDescent="0.3">
      <c r="A35" t="s">
        <v>2277</v>
      </c>
      <c r="B35" t="s">
        <v>1779</v>
      </c>
      <c r="C35" t="s">
        <v>1780</v>
      </c>
      <c r="D35">
        <v>10</v>
      </c>
      <c r="E35" t="s">
        <v>1447</v>
      </c>
      <c r="F35" t="s">
        <v>1781</v>
      </c>
      <c r="G35" t="s">
        <v>1741</v>
      </c>
      <c r="H35" t="s">
        <v>2286</v>
      </c>
      <c r="I35" t="s">
        <v>2279</v>
      </c>
      <c r="J35" t="s">
        <v>2279</v>
      </c>
      <c r="K35" t="s">
        <v>2279</v>
      </c>
      <c r="L35" t="s">
        <v>2279</v>
      </c>
      <c r="M35" t="s">
        <v>2279</v>
      </c>
      <c r="N35" t="s">
        <v>2279</v>
      </c>
      <c r="O35" s="190" t="str">
        <f>"["&amp;$C35&amp;"]["&amp;$D35&amp;"]["&amp;$F35&amp;"]"</f>
        <v>[S02_CompetentAuthorityRoles][10][CAForInstallationTask]</v>
      </c>
    </row>
    <row r="36" spans="1:15" x14ac:dyDescent="0.3">
      <c r="A36" t="s">
        <v>2277</v>
      </c>
      <c r="B36" t="s">
        <v>1779</v>
      </c>
      <c r="C36" t="s">
        <v>1780</v>
      </c>
      <c r="D36">
        <v>11</v>
      </c>
      <c r="E36" t="s">
        <v>1447</v>
      </c>
      <c r="F36" t="s">
        <v>1781</v>
      </c>
      <c r="G36" t="s">
        <v>1741</v>
      </c>
      <c r="H36" t="s">
        <v>2286</v>
      </c>
      <c r="I36" t="s">
        <v>2279</v>
      </c>
      <c r="J36" t="s">
        <v>2279</v>
      </c>
      <c r="K36" t="s">
        <v>2279</v>
      </c>
      <c r="L36" t="s">
        <v>2279</v>
      </c>
      <c r="M36" t="s">
        <v>2279</v>
      </c>
      <c r="N36" t="s">
        <v>2279</v>
      </c>
      <c r="O36" s="190" t="str">
        <f>"["&amp;$C36&amp;"]["&amp;$D36&amp;"]["&amp;$F36&amp;"]"</f>
        <v>[S02_CompetentAuthorityRoles][11][CAForInstallationTask]</v>
      </c>
    </row>
    <row r="37" spans="1:15" x14ac:dyDescent="0.3">
      <c r="A37" t="s">
        <v>2277</v>
      </c>
      <c r="B37" t="s">
        <v>1779</v>
      </c>
      <c r="C37" t="s">
        <v>1780</v>
      </c>
      <c r="D37">
        <v>12</v>
      </c>
      <c r="E37" t="s">
        <v>1447</v>
      </c>
      <c r="F37" t="s">
        <v>1781</v>
      </c>
      <c r="G37" t="s">
        <v>1741</v>
      </c>
      <c r="H37" t="s">
        <v>2286</v>
      </c>
      <c r="I37" t="s">
        <v>2279</v>
      </c>
      <c r="J37" t="s">
        <v>2279</v>
      </c>
      <c r="K37" t="s">
        <v>2279</v>
      </c>
      <c r="L37" t="s">
        <v>2279</v>
      </c>
      <c r="M37" t="s">
        <v>2279</v>
      </c>
      <c r="N37" t="s">
        <v>2279</v>
      </c>
      <c r="O37" s="190" t="str">
        <f>"["&amp;$C37&amp;"]["&amp;$D37&amp;"]["&amp;$F37&amp;"]"</f>
        <v>[S02_CompetentAuthorityRoles][12][CAForInstallationTask]</v>
      </c>
    </row>
    <row r="38" spans="1:15" x14ac:dyDescent="0.3">
      <c r="A38" t="s">
        <v>2277</v>
      </c>
      <c r="B38" t="s">
        <v>1779</v>
      </c>
      <c r="C38" t="s">
        <v>1780</v>
      </c>
      <c r="D38">
        <v>13</v>
      </c>
      <c r="E38" t="s">
        <v>1447</v>
      </c>
      <c r="F38" t="s">
        <v>1781</v>
      </c>
      <c r="G38" t="s">
        <v>1741</v>
      </c>
      <c r="H38" t="s">
        <v>2286</v>
      </c>
      <c r="I38" t="s">
        <v>2279</v>
      </c>
      <c r="J38" t="s">
        <v>2279</v>
      </c>
      <c r="K38" t="s">
        <v>2279</v>
      </c>
      <c r="L38" t="s">
        <v>2279</v>
      </c>
      <c r="M38" t="s">
        <v>2279</v>
      </c>
      <c r="N38" t="s">
        <v>2279</v>
      </c>
      <c r="O38" s="190" t="str">
        <f>"["&amp;$C38&amp;"]["&amp;$D38&amp;"]["&amp;$F38&amp;"]"</f>
        <v>[S02_CompetentAuthorityRoles][13][CAForInstallationTask]</v>
      </c>
    </row>
    <row r="39" spans="1:15" x14ac:dyDescent="0.3">
      <c r="A39" t="s">
        <v>2277</v>
      </c>
      <c r="B39" t="s">
        <v>1779</v>
      </c>
      <c r="C39" t="s">
        <v>1780</v>
      </c>
      <c r="D39">
        <v>5</v>
      </c>
      <c r="E39" t="s">
        <v>1447</v>
      </c>
      <c r="F39" t="s">
        <v>1782</v>
      </c>
      <c r="G39" t="s">
        <v>1741</v>
      </c>
      <c r="H39" t="s">
        <v>2286</v>
      </c>
      <c r="I39" t="s">
        <v>2279</v>
      </c>
      <c r="J39" t="s">
        <v>2279</v>
      </c>
      <c r="K39" t="s">
        <v>2279</v>
      </c>
      <c r="L39" t="s">
        <v>2279</v>
      </c>
      <c r="M39" t="s">
        <v>2279</v>
      </c>
      <c r="N39" t="s">
        <v>2279</v>
      </c>
      <c r="O39" s="190" t="str">
        <f>"["&amp;$C39&amp;"]["&amp;$D39&amp;"]["&amp;$F39&amp;"]"</f>
        <v>[S02_CompetentAuthorityRoles][5][CAForAviationTask]</v>
      </c>
    </row>
    <row r="40" spans="1:15" x14ac:dyDescent="0.3">
      <c r="A40" t="s">
        <v>2277</v>
      </c>
      <c r="B40" t="s">
        <v>1779</v>
      </c>
      <c r="C40" t="s">
        <v>1780</v>
      </c>
      <c r="D40">
        <v>6</v>
      </c>
      <c r="E40" t="s">
        <v>1447</v>
      </c>
      <c r="F40" t="s">
        <v>1782</v>
      </c>
      <c r="G40" t="s">
        <v>1741</v>
      </c>
      <c r="H40" t="s">
        <v>2286</v>
      </c>
      <c r="I40" t="s">
        <v>2279</v>
      </c>
      <c r="J40" t="s">
        <v>2279</v>
      </c>
      <c r="K40" t="s">
        <v>2279</v>
      </c>
      <c r="L40" t="s">
        <v>2279</v>
      </c>
      <c r="M40" t="s">
        <v>2279</v>
      </c>
      <c r="N40" t="s">
        <v>2279</v>
      </c>
      <c r="O40" s="190" t="str">
        <f>"["&amp;$C40&amp;"]["&amp;$D40&amp;"]["&amp;$F40&amp;"]"</f>
        <v>[S02_CompetentAuthorityRoles][6][CAForAviationTask]</v>
      </c>
    </row>
    <row r="41" spans="1:15" x14ac:dyDescent="0.3">
      <c r="A41" t="s">
        <v>2277</v>
      </c>
      <c r="B41" t="s">
        <v>1779</v>
      </c>
      <c r="C41" t="s">
        <v>1780</v>
      </c>
      <c r="D41">
        <v>7</v>
      </c>
      <c r="E41" t="s">
        <v>1447</v>
      </c>
      <c r="F41" t="s">
        <v>1782</v>
      </c>
      <c r="G41" t="s">
        <v>1741</v>
      </c>
      <c r="H41" t="s">
        <v>2286</v>
      </c>
      <c r="I41" t="s">
        <v>2279</v>
      </c>
      <c r="J41" t="s">
        <v>2279</v>
      </c>
      <c r="K41" t="s">
        <v>2279</v>
      </c>
      <c r="L41" t="s">
        <v>2279</v>
      </c>
      <c r="M41" t="s">
        <v>2279</v>
      </c>
      <c r="N41" t="s">
        <v>2279</v>
      </c>
      <c r="O41" s="190" t="str">
        <f>"["&amp;$C41&amp;"]["&amp;$D41&amp;"]["&amp;$F41&amp;"]"</f>
        <v>[S02_CompetentAuthorityRoles][7][CAForAviationTask]</v>
      </c>
    </row>
    <row r="42" spans="1:15" x14ac:dyDescent="0.3">
      <c r="A42" t="s">
        <v>2277</v>
      </c>
      <c r="B42" t="s">
        <v>1779</v>
      </c>
      <c r="C42" t="s">
        <v>1780</v>
      </c>
      <c r="D42">
        <v>8</v>
      </c>
      <c r="E42" t="s">
        <v>1447</v>
      </c>
      <c r="F42" t="s">
        <v>1782</v>
      </c>
      <c r="G42" t="s">
        <v>1741</v>
      </c>
      <c r="H42" t="s">
        <v>2286</v>
      </c>
      <c r="I42" t="s">
        <v>2279</v>
      </c>
      <c r="J42" t="s">
        <v>2279</v>
      </c>
      <c r="K42" t="s">
        <v>2279</v>
      </c>
      <c r="L42" t="s">
        <v>2279</v>
      </c>
      <c r="M42" t="s">
        <v>2279</v>
      </c>
      <c r="N42" t="s">
        <v>2279</v>
      </c>
      <c r="O42" s="190" t="str">
        <f>"["&amp;$C42&amp;"]["&amp;$D42&amp;"]["&amp;$F42&amp;"]"</f>
        <v>[S02_CompetentAuthorityRoles][8][CAForAviationTask]</v>
      </c>
    </row>
    <row r="43" spans="1:15" x14ac:dyDescent="0.3">
      <c r="A43" t="s">
        <v>2277</v>
      </c>
      <c r="B43" t="s">
        <v>1779</v>
      </c>
      <c r="C43" t="s">
        <v>1780</v>
      </c>
      <c r="D43">
        <v>9</v>
      </c>
      <c r="E43" t="s">
        <v>1447</v>
      </c>
      <c r="F43" t="s">
        <v>1782</v>
      </c>
      <c r="G43" t="s">
        <v>1741</v>
      </c>
      <c r="H43" t="s">
        <v>2286</v>
      </c>
      <c r="I43" t="s">
        <v>2279</v>
      </c>
      <c r="J43" t="s">
        <v>2279</v>
      </c>
      <c r="K43" t="s">
        <v>2279</v>
      </c>
      <c r="L43" t="s">
        <v>2279</v>
      </c>
      <c r="M43" t="s">
        <v>2279</v>
      </c>
      <c r="N43" t="s">
        <v>2279</v>
      </c>
      <c r="O43" s="190" t="str">
        <f>"["&amp;$C43&amp;"]["&amp;$D43&amp;"]["&amp;$F43&amp;"]"</f>
        <v>[S02_CompetentAuthorityRoles][9][CAForAviationTask]</v>
      </c>
    </row>
    <row r="44" spans="1:15" x14ac:dyDescent="0.3">
      <c r="A44" t="s">
        <v>2277</v>
      </c>
      <c r="B44" t="s">
        <v>1779</v>
      </c>
      <c r="C44" t="s">
        <v>1780</v>
      </c>
      <c r="D44">
        <v>10</v>
      </c>
      <c r="E44" t="s">
        <v>1447</v>
      </c>
      <c r="F44" t="s">
        <v>1782</v>
      </c>
      <c r="G44" t="s">
        <v>1741</v>
      </c>
      <c r="H44" t="s">
        <v>2286</v>
      </c>
      <c r="I44" t="s">
        <v>2279</v>
      </c>
      <c r="J44" t="s">
        <v>2279</v>
      </c>
      <c r="K44" t="s">
        <v>2279</v>
      </c>
      <c r="L44" t="s">
        <v>2279</v>
      </c>
      <c r="M44" t="s">
        <v>2279</v>
      </c>
      <c r="N44" t="s">
        <v>2279</v>
      </c>
      <c r="O44" s="190" t="str">
        <f>"["&amp;$C44&amp;"]["&amp;$D44&amp;"]["&amp;$F44&amp;"]"</f>
        <v>[S02_CompetentAuthorityRoles][10][CAForAviationTask]</v>
      </c>
    </row>
    <row r="45" spans="1:15" x14ac:dyDescent="0.3">
      <c r="A45" t="s">
        <v>2277</v>
      </c>
      <c r="B45" t="s">
        <v>1779</v>
      </c>
      <c r="C45" t="s">
        <v>1780</v>
      </c>
      <c r="D45">
        <v>11</v>
      </c>
      <c r="E45" t="s">
        <v>1447</v>
      </c>
      <c r="F45" t="s">
        <v>1782</v>
      </c>
      <c r="G45" t="s">
        <v>1741</v>
      </c>
      <c r="H45" t="s">
        <v>2286</v>
      </c>
      <c r="I45" t="s">
        <v>2279</v>
      </c>
      <c r="J45" t="s">
        <v>2279</v>
      </c>
      <c r="K45" t="s">
        <v>2279</v>
      </c>
      <c r="L45" t="s">
        <v>2279</v>
      </c>
      <c r="M45" t="s">
        <v>2279</v>
      </c>
      <c r="N45" t="s">
        <v>2279</v>
      </c>
      <c r="O45" s="190" t="str">
        <f>"["&amp;$C45&amp;"]["&amp;$D45&amp;"]["&amp;$F45&amp;"]"</f>
        <v>[S02_CompetentAuthorityRoles][11][CAForAviationTask]</v>
      </c>
    </row>
    <row r="46" spans="1:15" x14ac:dyDescent="0.3">
      <c r="A46" t="s">
        <v>2277</v>
      </c>
      <c r="B46" t="s">
        <v>1784</v>
      </c>
      <c r="C46" t="s">
        <v>1785</v>
      </c>
      <c r="D46">
        <v>0</v>
      </c>
      <c r="E46" t="s">
        <v>1447</v>
      </c>
      <c r="F46" t="s">
        <v>1786</v>
      </c>
      <c r="G46" t="s">
        <v>1741</v>
      </c>
      <c r="H46" t="s">
        <v>2285</v>
      </c>
      <c r="I46" t="s">
        <v>2279</v>
      </c>
      <c r="J46" t="s">
        <v>2279</v>
      </c>
      <c r="K46" t="s">
        <v>2279</v>
      </c>
      <c r="L46" t="s">
        <v>2279</v>
      </c>
      <c r="M46" t="s">
        <v>2279</v>
      </c>
      <c r="N46" t="s">
        <v>2279</v>
      </c>
      <c r="O46" s="190" t="str">
        <f>"["&amp;$C46&amp;"]["&amp;$D46&amp;"]["&amp;$F46&amp;"]"</f>
        <v>[S02_CAFocalPoint][0][CAArt70]</v>
      </c>
    </row>
    <row r="47" spans="1:15" x14ac:dyDescent="0.3">
      <c r="A47" t="s">
        <v>2277</v>
      </c>
      <c r="B47" t="s">
        <v>1784</v>
      </c>
      <c r="C47" t="s">
        <v>1785</v>
      </c>
      <c r="D47">
        <v>0</v>
      </c>
      <c r="E47" t="s">
        <v>1447</v>
      </c>
      <c r="F47" t="s">
        <v>1787</v>
      </c>
      <c r="G47" t="s">
        <v>1741</v>
      </c>
      <c r="H47" t="s">
        <v>2286</v>
      </c>
      <c r="I47" t="s">
        <v>2279</v>
      </c>
      <c r="J47" t="s">
        <v>2279</v>
      </c>
      <c r="K47" t="s">
        <v>2279</v>
      </c>
      <c r="L47" t="s">
        <v>2279</v>
      </c>
      <c r="M47" t="s">
        <v>2279</v>
      </c>
      <c r="N47" t="s">
        <v>2279</v>
      </c>
      <c r="O47" s="190" t="str">
        <f>"["&amp;$C47&amp;"]["&amp;$D47&amp;"]["&amp;$F47&amp;"]"</f>
        <v>[S02_CAFocalPoint][0][CAArt70Abbrev]</v>
      </c>
    </row>
    <row r="48" spans="1:15" x14ac:dyDescent="0.3">
      <c r="A48" t="s">
        <v>2277</v>
      </c>
      <c r="B48" t="s">
        <v>1792</v>
      </c>
      <c r="C48" t="s">
        <v>1793</v>
      </c>
      <c r="D48">
        <v>1</v>
      </c>
      <c r="E48" t="s">
        <v>1447</v>
      </c>
      <c r="F48" t="s">
        <v>1794</v>
      </c>
      <c r="G48" t="s">
        <v>1759</v>
      </c>
      <c r="H48" t="s">
        <v>2279</v>
      </c>
      <c r="I48" t="s">
        <v>2279</v>
      </c>
      <c r="J48" t="s">
        <v>2279</v>
      </c>
      <c r="K48" t="s">
        <v>2279</v>
      </c>
      <c r="L48" t="s">
        <v>1419</v>
      </c>
      <c r="M48" t="s">
        <v>2279</v>
      </c>
      <c r="N48" t="s">
        <v>2279</v>
      </c>
      <c r="O48" s="190" t="str">
        <f>"["&amp;$C48&amp;"]["&amp;$D48&amp;"]["&amp;$F48&amp;"]"</f>
        <v>[S02_InformationExchangeAccBodyAndCA][1][InfoExchangeYesNo]</v>
      </c>
    </row>
    <row r="49" spans="1:15" x14ac:dyDescent="0.3">
      <c r="A49" t="s">
        <v>2277</v>
      </c>
      <c r="B49" t="s">
        <v>1792</v>
      </c>
      <c r="C49" t="s">
        <v>1793</v>
      </c>
      <c r="D49">
        <v>2</v>
      </c>
      <c r="E49" t="s">
        <v>1447</v>
      </c>
      <c r="F49" t="s">
        <v>1794</v>
      </c>
      <c r="G49" t="s">
        <v>1759</v>
      </c>
      <c r="H49" t="s">
        <v>2279</v>
      </c>
      <c r="I49" t="s">
        <v>2279</v>
      </c>
      <c r="J49" t="s">
        <v>2279</v>
      </c>
      <c r="K49" t="s">
        <v>2279</v>
      </c>
      <c r="L49" t="s">
        <v>1419</v>
      </c>
      <c r="M49" t="s">
        <v>2279</v>
      </c>
      <c r="N49" t="s">
        <v>2279</v>
      </c>
      <c r="O49" s="190" t="str">
        <f>"["&amp;$C49&amp;"]["&amp;$D49&amp;"]["&amp;$F49&amp;"]"</f>
        <v>[S02_InformationExchangeAccBodyAndCA][2][InfoExchangeYesNo]</v>
      </c>
    </row>
    <row r="50" spans="1:15" x14ac:dyDescent="0.3">
      <c r="A50" t="s">
        <v>2277</v>
      </c>
      <c r="B50" t="s">
        <v>1792</v>
      </c>
      <c r="C50" t="s">
        <v>1793</v>
      </c>
      <c r="D50">
        <v>3</v>
      </c>
      <c r="E50" t="s">
        <v>1447</v>
      </c>
      <c r="F50" t="s">
        <v>1794</v>
      </c>
      <c r="G50" t="s">
        <v>1759</v>
      </c>
      <c r="H50" t="s">
        <v>2279</v>
      </c>
      <c r="I50" t="s">
        <v>2279</v>
      </c>
      <c r="J50" t="s">
        <v>2279</v>
      </c>
      <c r="K50" t="s">
        <v>2279</v>
      </c>
      <c r="L50" t="s">
        <v>1419</v>
      </c>
      <c r="M50" t="s">
        <v>2279</v>
      </c>
      <c r="N50" t="s">
        <v>2279</v>
      </c>
      <c r="O50" s="190" t="str">
        <f>"["&amp;$C50&amp;"]["&amp;$D50&amp;"]["&amp;$F50&amp;"]"</f>
        <v>[S02_InformationExchangeAccBodyAndCA][3][InfoExchangeYesNo]</v>
      </c>
    </row>
    <row r="51" spans="1:15" x14ac:dyDescent="0.3">
      <c r="A51" t="s">
        <v>2277</v>
      </c>
      <c r="B51" t="s">
        <v>1792</v>
      </c>
      <c r="C51" t="s">
        <v>1793</v>
      </c>
      <c r="D51">
        <v>1</v>
      </c>
      <c r="E51" t="s">
        <v>1447</v>
      </c>
      <c r="F51" t="s">
        <v>1795</v>
      </c>
      <c r="G51" t="s">
        <v>1791</v>
      </c>
      <c r="H51" t="s">
        <v>2279</v>
      </c>
      <c r="I51" t="s">
        <v>2279</v>
      </c>
      <c r="J51" t="s">
        <v>2279</v>
      </c>
      <c r="K51" t="s">
        <v>2300</v>
      </c>
      <c r="L51" t="s">
        <v>2279</v>
      </c>
      <c r="M51" t="s">
        <v>2279</v>
      </c>
      <c r="N51" t="s">
        <v>2279</v>
      </c>
      <c r="O51" s="190" t="str">
        <f>"["&amp;$C51&amp;"]["&amp;$D51&amp;"]["&amp;$F51&amp;"]"</f>
        <v>[S02_InformationExchangeAccBodyAndCA][1][InfoExchangeComment]</v>
      </c>
    </row>
    <row r="52" spans="1:15" x14ac:dyDescent="0.3">
      <c r="A52" t="s">
        <v>2277</v>
      </c>
      <c r="B52" t="s">
        <v>1792</v>
      </c>
      <c r="C52" t="s">
        <v>1793</v>
      </c>
      <c r="D52">
        <v>2</v>
      </c>
      <c r="E52" t="s">
        <v>1447</v>
      </c>
      <c r="F52" t="s">
        <v>1795</v>
      </c>
      <c r="G52" t="s">
        <v>1791</v>
      </c>
      <c r="H52" t="s">
        <v>2279</v>
      </c>
      <c r="I52" t="s">
        <v>2279</v>
      </c>
      <c r="J52" t="s">
        <v>2279</v>
      </c>
      <c r="K52" t="s">
        <v>2301</v>
      </c>
      <c r="L52" t="s">
        <v>2279</v>
      </c>
      <c r="M52" t="s">
        <v>2279</v>
      </c>
      <c r="N52" t="s">
        <v>2279</v>
      </c>
      <c r="O52" s="190" t="str">
        <f>"["&amp;$C52&amp;"]["&amp;$D52&amp;"]["&amp;$F52&amp;"]"</f>
        <v>[S02_InformationExchangeAccBodyAndCA][2][InfoExchangeComment]</v>
      </c>
    </row>
    <row r="53" spans="1:15" x14ac:dyDescent="0.3">
      <c r="A53" t="s">
        <v>2277</v>
      </c>
      <c r="B53" t="s">
        <v>1796</v>
      </c>
      <c r="C53" t="s">
        <v>1797</v>
      </c>
      <c r="D53">
        <v>1</v>
      </c>
      <c r="E53" t="s">
        <v>1447</v>
      </c>
      <c r="F53" t="s">
        <v>1798</v>
      </c>
      <c r="G53" t="s">
        <v>1748</v>
      </c>
      <c r="H53" t="s">
        <v>2279</v>
      </c>
      <c r="I53">
        <v>310</v>
      </c>
      <c r="J53" t="s">
        <v>2279</v>
      </c>
      <c r="K53" t="s">
        <v>2279</v>
      </c>
      <c r="L53" t="s">
        <v>2279</v>
      </c>
      <c r="M53" t="s">
        <v>2279</v>
      </c>
      <c r="N53" t="s">
        <v>2279</v>
      </c>
      <c r="O53" s="190" t="str">
        <f>"["&amp;$C53&amp;"]["&amp;$D53&amp;"]["&amp;$F53&amp;"]"</f>
        <v>[S03_EmittingInstallations][1][NumberOfInstallations]</v>
      </c>
    </row>
    <row r="54" spans="1:15" x14ac:dyDescent="0.3">
      <c r="A54" t="s">
        <v>2277</v>
      </c>
      <c r="B54" t="s">
        <v>1796</v>
      </c>
      <c r="C54" t="s">
        <v>1797</v>
      </c>
      <c r="D54">
        <v>2</v>
      </c>
      <c r="E54" t="s">
        <v>1447</v>
      </c>
      <c r="F54" t="s">
        <v>1798</v>
      </c>
      <c r="G54" t="s">
        <v>1748</v>
      </c>
      <c r="H54" t="s">
        <v>2279</v>
      </c>
      <c r="I54">
        <v>274</v>
      </c>
      <c r="J54" t="s">
        <v>2279</v>
      </c>
      <c r="K54" t="s">
        <v>2279</v>
      </c>
      <c r="L54" t="s">
        <v>2279</v>
      </c>
      <c r="M54" t="s">
        <v>2279</v>
      </c>
      <c r="N54" t="s">
        <v>2279</v>
      </c>
      <c r="O54" s="190" t="str">
        <f>"["&amp;$C54&amp;"]["&amp;$D54&amp;"]["&amp;$F54&amp;"]"</f>
        <v>[S03_EmittingInstallations][2][NumberOfInstallations]</v>
      </c>
    </row>
    <row r="55" spans="1:15" x14ac:dyDescent="0.3">
      <c r="A55" t="s">
        <v>2277</v>
      </c>
      <c r="B55" t="s">
        <v>1796</v>
      </c>
      <c r="C55" t="s">
        <v>1797</v>
      </c>
      <c r="D55">
        <v>3</v>
      </c>
      <c r="E55" t="s">
        <v>1447</v>
      </c>
      <c r="F55" t="s">
        <v>1798</v>
      </c>
      <c r="G55" t="s">
        <v>1748</v>
      </c>
      <c r="H55" t="s">
        <v>2279</v>
      </c>
      <c r="I55">
        <v>30</v>
      </c>
      <c r="J55" t="s">
        <v>2279</v>
      </c>
      <c r="K55" t="s">
        <v>2279</v>
      </c>
      <c r="L55" t="s">
        <v>2279</v>
      </c>
      <c r="M55" t="s">
        <v>2279</v>
      </c>
      <c r="N55" t="s">
        <v>2279</v>
      </c>
      <c r="O55" s="190" t="str">
        <f>"["&amp;$C55&amp;"]["&amp;$D55&amp;"]["&amp;$F55&amp;"]"</f>
        <v>[S03_EmittingInstallations][3][NumberOfInstallations]</v>
      </c>
    </row>
    <row r="56" spans="1:15" x14ac:dyDescent="0.3">
      <c r="A56" t="s">
        <v>2277</v>
      </c>
      <c r="B56" t="s">
        <v>1796</v>
      </c>
      <c r="C56" t="s">
        <v>1797</v>
      </c>
      <c r="D56">
        <v>4</v>
      </c>
      <c r="E56" t="s">
        <v>1447</v>
      </c>
      <c r="F56" t="s">
        <v>1798</v>
      </c>
      <c r="G56" t="s">
        <v>1748</v>
      </c>
      <c r="H56" t="s">
        <v>2279</v>
      </c>
      <c r="I56">
        <v>6</v>
      </c>
      <c r="J56" t="s">
        <v>2279</v>
      </c>
      <c r="K56" t="s">
        <v>2279</v>
      </c>
      <c r="L56" t="s">
        <v>2279</v>
      </c>
      <c r="M56" t="s">
        <v>2279</v>
      </c>
      <c r="N56" t="s">
        <v>2279</v>
      </c>
      <c r="O56" s="190" t="str">
        <f>"["&amp;$C56&amp;"]["&amp;$D56&amp;"]["&amp;$F56&amp;"]"</f>
        <v>[S03_EmittingInstallations][4][NumberOfInstallations]</v>
      </c>
    </row>
    <row r="57" spans="1:15" x14ac:dyDescent="0.3">
      <c r="A57" t="s">
        <v>2277</v>
      </c>
      <c r="B57" t="s">
        <v>1796</v>
      </c>
      <c r="C57" t="s">
        <v>1797</v>
      </c>
      <c r="D57">
        <v>5</v>
      </c>
      <c r="E57" t="s">
        <v>1447</v>
      </c>
      <c r="F57" t="s">
        <v>1798</v>
      </c>
      <c r="G57" t="s">
        <v>1748</v>
      </c>
      <c r="H57" t="s">
        <v>2279</v>
      </c>
      <c r="I57">
        <v>252</v>
      </c>
      <c r="J57" t="s">
        <v>2279</v>
      </c>
      <c r="K57" t="s">
        <v>2279</v>
      </c>
      <c r="L57" t="s">
        <v>2279</v>
      </c>
      <c r="M57" t="s">
        <v>2279</v>
      </c>
      <c r="N57" t="s">
        <v>2279</v>
      </c>
      <c r="O57" s="190" t="str">
        <f>"["&amp;$C57&amp;"]["&amp;$D57&amp;"]["&amp;$F57&amp;"]"</f>
        <v>[S03_EmittingInstallations][5][NumberOfInstallations]</v>
      </c>
    </row>
    <row r="58" spans="1:15" x14ac:dyDescent="0.3">
      <c r="A58" t="s">
        <v>2277</v>
      </c>
      <c r="B58" t="s">
        <v>1796</v>
      </c>
      <c r="C58" t="s">
        <v>1799</v>
      </c>
      <c r="D58">
        <v>1</v>
      </c>
      <c r="E58" t="s">
        <v>1447</v>
      </c>
      <c r="F58" t="s">
        <v>1800</v>
      </c>
      <c r="G58" t="s">
        <v>1759</v>
      </c>
      <c r="H58" t="s">
        <v>2279</v>
      </c>
      <c r="I58" t="s">
        <v>2279</v>
      </c>
      <c r="J58" t="s">
        <v>2279</v>
      </c>
      <c r="K58" t="s">
        <v>2279</v>
      </c>
      <c r="L58" t="s">
        <v>1419</v>
      </c>
      <c r="M58" t="s">
        <v>2279</v>
      </c>
      <c r="N58" t="s">
        <v>2279</v>
      </c>
      <c r="O58" s="190" t="str">
        <f>"["&amp;$C58&amp;"]["&amp;$D58&amp;"]["&amp;$F58&amp;"]"</f>
        <v>[S03_ActivityPermits][1][ActivityPermitsIssued]</v>
      </c>
    </row>
    <row r="59" spans="1:15" x14ac:dyDescent="0.3">
      <c r="A59" t="s">
        <v>2277</v>
      </c>
      <c r="B59" t="s">
        <v>1796</v>
      </c>
      <c r="C59" t="s">
        <v>1799</v>
      </c>
      <c r="D59">
        <v>2</v>
      </c>
      <c r="E59" t="s">
        <v>1447</v>
      </c>
      <c r="F59" t="s">
        <v>1800</v>
      </c>
      <c r="G59" t="s">
        <v>1759</v>
      </c>
      <c r="H59" t="s">
        <v>2279</v>
      </c>
      <c r="I59" t="s">
        <v>2279</v>
      </c>
      <c r="J59" t="s">
        <v>2279</v>
      </c>
      <c r="K59" t="s">
        <v>2279</v>
      </c>
      <c r="L59" t="s">
        <v>1419</v>
      </c>
      <c r="M59" t="s">
        <v>2279</v>
      </c>
      <c r="N59" t="s">
        <v>2279</v>
      </c>
      <c r="O59" s="190" t="str">
        <f>"["&amp;$C59&amp;"]["&amp;$D59&amp;"]["&amp;$F59&amp;"]"</f>
        <v>[S03_ActivityPermits][2][ActivityPermitsIssued]</v>
      </c>
    </row>
    <row r="60" spans="1:15" x14ac:dyDescent="0.3">
      <c r="A60" t="s">
        <v>2277</v>
      </c>
      <c r="B60" t="s">
        <v>1796</v>
      </c>
      <c r="C60" t="s">
        <v>1799</v>
      </c>
      <c r="D60">
        <v>3</v>
      </c>
      <c r="E60" t="s">
        <v>1447</v>
      </c>
      <c r="F60" t="s">
        <v>1800</v>
      </c>
      <c r="G60" t="s">
        <v>1759</v>
      </c>
      <c r="H60" t="s">
        <v>2279</v>
      </c>
      <c r="I60" t="s">
        <v>2279</v>
      </c>
      <c r="J60" t="s">
        <v>2279</v>
      </c>
      <c r="K60" t="s">
        <v>2279</v>
      </c>
      <c r="L60" t="s">
        <v>1447</v>
      </c>
      <c r="M60" t="s">
        <v>2279</v>
      </c>
      <c r="N60" t="s">
        <v>2279</v>
      </c>
      <c r="O60" s="190" t="str">
        <f>"["&amp;$C60&amp;"]["&amp;$D60&amp;"]["&amp;$F60&amp;"]"</f>
        <v>[S03_ActivityPermits][3][ActivityPermitsIssued]</v>
      </c>
    </row>
    <row r="61" spans="1:15" x14ac:dyDescent="0.3">
      <c r="A61" t="s">
        <v>2277</v>
      </c>
      <c r="B61" t="s">
        <v>1796</v>
      </c>
      <c r="C61" t="s">
        <v>1799</v>
      </c>
      <c r="D61">
        <v>4</v>
      </c>
      <c r="E61" t="s">
        <v>1447</v>
      </c>
      <c r="F61" t="s">
        <v>1800</v>
      </c>
      <c r="G61" t="s">
        <v>1759</v>
      </c>
      <c r="H61" t="s">
        <v>2279</v>
      </c>
      <c r="I61" t="s">
        <v>2279</v>
      </c>
      <c r="J61" t="s">
        <v>2279</v>
      </c>
      <c r="K61" t="s">
        <v>2279</v>
      </c>
      <c r="L61" t="s">
        <v>1447</v>
      </c>
      <c r="M61" t="s">
        <v>2279</v>
      </c>
      <c r="N61" t="s">
        <v>2279</v>
      </c>
      <c r="O61" s="190" t="str">
        <f>"["&amp;$C61&amp;"]["&amp;$D61&amp;"]["&amp;$F61&amp;"]"</f>
        <v>[S03_ActivityPermits][4][ActivityPermitsIssued]</v>
      </c>
    </row>
    <row r="62" spans="1:15" x14ac:dyDescent="0.3">
      <c r="A62" t="s">
        <v>2277</v>
      </c>
      <c r="B62" t="s">
        <v>1796</v>
      </c>
      <c r="C62" t="s">
        <v>1799</v>
      </c>
      <c r="D62">
        <v>5</v>
      </c>
      <c r="E62" t="s">
        <v>1447</v>
      </c>
      <c r="F62" t="s">
        <v>1800</v>
      </c>
      <c r="G62" t="s">
        <v>1759</v>
      </c>
      <c r="H62" t="s">
        <v>2279</v>
      </c>
      <c r="I62" t="s">
        <v>2279</v>
      </c>
      <c r="J62" t="s">
        <v>2279</v>
      </c>
      <c r="K62" t="s">
        <v>2279</v>
      </c>
      <c r="L62" t="s">
        <v>1419</v>
      </c>
      <c r="M62" t="s">
        <v>2279</v>
      </c>
      <c r="N62" t="s">
        <v>2279</v>
      </c>
      <c r="O62" s="190" t="str">
        <f>"["&amp;$C62&amp;"]["&amp;$D62&amp;"]["&amp;$F62&amp;"]"</f>
        <v>[S03_ActivityPermits][5][ActivityPermitsIssued]</v>
      </c>
    </row>
    <row r="63" spans="1:15" x14ac:dyDescent="0.3">
      <c r="A63" t="s">
        <v>2277</v>
      </c>
      <c r="B63" t="s">
        <v>1796</v>
      </c>
      <c r="C63" t="s">
        <v>1799</v>
      </c>
      <c r="D63">
        <v>6</v>
      </c>
      <c r="E63" t="s">
        <v>1447</v>
      </c>
      <c r="F63" t="s">
        <v>1800</v>
      </c>
      <c r="G63" t="s">
        <v>1759</v>
      </c>
      <c r="H63" t="s">
        <v>2279</v>
      </c>
      <c r="I63" t="s">
        <v>2279</v>
      </c>
      <c r="J63" t="s">
        <v>2279</v>
      </c>
      <c r="K63" t="s">
        <v>2279</v>
      </c>
      <c r="L63" t="s">
        <v>1419</v>
      </c>
      <c r="M63" t="s">
        <v>2279</v>
      </c>
      <c r="N63" t="s">
        <v>2279</v>
      </c>
      <c r="O63" s="190" t="str">
        <f>"["&amp;$C63&amp;"]["&amp;$D63&amp;"]["&amp;$F63&amp;"]"</f>
        <v>[S03_ActivityPermits][6][ActivityPermitsIssued]</v>
      </c>
    </row>
    <row r="64" spans="1:15" x14ac:dyDescent="0.3">
      <c r="A64" t="s">
        <v>2277</v>
      </c>
      <c r="B64" t="s">
        <v>1796</v>
      </c>
      <c r="C64" t="s">
        <v>1799</v>
      </c>
      <c r="D64">
        <v>7</v>
      </c>
      <c r="E64" t="s">
        <v>1447</v>
      </c>
      <c r="F64" t="s">
        <v>1800</v>
      </c>
      <c r="G64" t="s">
        <v>1759</v>
      </c>
      <c r="H64" t="s">
        <v>2279</v>
      </c>
      <c r="I64" t="s">
        <v>2279</v>
      </c>
      <c r="J64" t="s">
        <v>2279</v>
      </c>
      <c r="K64" t="s">
        <v>2279</v>
      </c>
      <c r="L64" t="s">
        <v>1447</v>
      </c>
      <c r="M64" t="s">
        <v>2279</v>
      </c>
      <c r="N64" t="s">
        <v>2279</v>
      </c>
      <c r="O64" s="190" t="str">
        <f>"["&amp;$C64&amp;"]["&amp;$D64&amp;"]["&amp;$F64&amp;"]"</f>
        <v>[S03_ActivityPermits][7][ActivityPermitsIssued]</v>
      </c>
    </row>
    <row r="65" spans="1:15" x14ac:dyDescent="0.3">
      <c r="A65" t="s">
        <v>2277</v>
      </c>
      <c r="B65" t="s">
        <v>1796</v>
      </c>
      <c r="C65" t="s">
        <v>1799</v>
      </c>
      <c r="D65">
        <v>8</v>
      </c>
      <c r="E65" t="s">
        <v>1447</v>
      </c>
      <c r="F65" t="s">
        <v>1800</v>
      </c>
      <c r="G65" t="s">
        <v>1759</v>
      </c>
      <c r="H65" t="s">
        <v>2279</v>
      </c>
      <c r="I65" t="s">
        <v>2279</v>
      </c>
      <c r="J65" t="s">
        <v>2279</v>
      </c>
      <c r="K65" t="s">
        <v>2279</v>
      </c>
      <c r="L65" t="s">
        <v>1447</v>
      </c>
      <c r="M65" t="s">
        <v>2279</v>
      </c>
      <c r="N65" t="s">
        <v>2279</v>
      </c>
      <c r="O65" s="190" t="str">
        <f>"["&amp;$C65&amp;"]["&amp;$D65&amp;"]["&amp;$F65&amp;"]"</f>
        <v>[S03_ActivityPermits][8][ActivityPermitsIssued]</v>
      </c>
    </row>
    <row r="66" spans="1:15" x14ac:dyDescent="0.3">
      <c r="A66" t="s">
        <v>2277</v>
      </c>
      <c r="B66" t="s">
        <v>1796</v>
      </c>
      <c r="C66" t="s">
        <v>1799</v>
      </c>
      <c r="D66">
        <v>9</v>
      </c>
      <c r="E66" t="s">
        <v>1447</v>
      </c>
      <c r="F66" t="s">
        <v>1800</v>
      </c>
      <c r="G66" t="s">
        <v>1759</v>
      </c>
      <c r="H66" t="s">
        <v>2279</v>
      </c>
      <c r="I66" t="s">
        <v>2279</v>
      </c>
      <c r="J66" t="s">
        <v>2279</v>
      </c>
      <c r="K66" t="s">
        <v>2279</v>
      </c>
      <c r="L66" t="s">
        <v>1447</v>
      </c>
      <c r="M66" t="s">
        <v>2279</v>
      </c>
      <c r="N66" t="s">
        <v>2279</v>
      </c>
      <c r="O66" s="190" t="str">
        <f>"["&amp;$C66&amp;"]["&amp;$D66&amp;"]["&amp;$F66&amp;"]"</f>
        <v>[S03_ActivityPermits][9][ActivityPermitsIssued]</v>
      </c>
    </row>
    <row r="67" spans="1:15" x14ac:dyDescent="0.3">
      <c r="A67" t="s">
        <v>2277</v>
      </c>
      <c r="B67" t="s">
        <v>1796</v>
      </c>
      <c r="C67" t="s">
        <v>1799</v>
      </c>
      <c r="D67">
        <v>10</v>
      </c>
      <c r="E67" t="s">
        <v>1447</v>
      </c>
      <c r="F67" t="s">
        <v>1800</v>
      </c>
      <c r="G67" t="s">
        <v>1759</v>
      </c>
      <c r="H67" t="s">
        <v>2279</v>
      </c>
      <c r="I67" t="s">
        <v>2279</v>
      </c>
      <c r="J67" t="s">
        <v>2279</v>
      </c>
      <c r="K67" t="s">
        <v>2279</v>
      </c>
      <c r="L67" t="s">
        <v>1419</v>
      </c>
      <c r="M67" t="s">
        <v>2279</v>
      </c>
      <c r="N67" t="s">
        <v>2279</v>
      </c>
      <c r="O67" s="190" t="str">
        <f>"["&amp;$C67&amp;"]["&amp;$D67&amp;"]["&amp;$F67&amp;"]"</f>
        <v>[S03_ActivityPermits][10][ActivityPermitsIssued]</v>
      </c>
    </row>
    <row r="68" spans="1:15" x14ac:dyDescent="0.3">
      <c r="A68" t="s">
        <v>2277</v>
      </c>
      <c r="B68" t="s">
        <v>1796</v>
      </c>
      <c r="C68" t="s">
        <v>1799</v>
      </c>
      <c r="D68">
        <v>11</v>
      </c>
      <c r="E68" t="s">
        <v>1447</v>
      </c>
      <c r="F68" t="s">
        <v>1800</v>
      </c>
      <c r="G68" t="s">
        <v>1759</v>
      </c>
      <c r="H68" t="s">
        <v>2279</v>
      </c>
      <c r="I68" t="s">
        <v>2279</v>
      </c>
      <c r="J68" t="s">
        <v>2279</v>
      </c>
      <c r="K68" t="s">
        <v>2279</v>
      </c>
      <c r="L68" t="s">
        <v>1419</v>
      </c>
      <c r="M68" t="s">
        <v>2279</v>
      </c>
      <c r="N68" t="s">
        <v>2279</v>
      </c>
      <c r="O68" s="190" t="str">
        <f>"["&amp;$C68&amp;"]["&amp;$D68&amp;"]["&amp;$F68&amp;"]"</f>
        <v>[S03_ActivityPermits][11][ActivityPermitsIssued]</v>
      </c>
    </row>
    <row r="69" spans="1:15" x14ac:dyDescent="0.3">
      <c r="A69" t="s">
        <v>2277</v>
      </c>
      <c r="B69" t="s">
        <v>1796</v>
      </c>
      <c r="C69" t="s">
        <v>1799</v>
      </c>
      <c r="D69">
        <v>12</v>
      </c>
      <c r="E69" t="s">
        <v>1447</v>
      </c>
      <c r="F69" t="s">
        <v>1800</v>
      </c>
      <c r="G69" t="s">
        <v>1759</v>
      </c>
      <c r="H69" t="s">
        <v>2279</v>
      </c>
      <c r="I69" t="s">
        <v>2279</v>
      </c>
      <c r="J69" t="s">
        <v>2279</v>
      </c>
      <c r="K69" t="s">
        <v>2279</v>
      </c>
      <c r="L69" t="s">
        <v>1419</v>
      </c>
      <c r="M69" t="s">
        <v>2279</v>
      </c>
      <c r="N69" t="s">
        <v>2279</v>
      </c>
      <c r="O69" s="190" t="str">
        <f>"["&amp;$C69&amp;"]["&amp;$D69&amp;"]["&amp;$F69&amp;"]"</f>
        <v>[S03_ActivityPermits][12][ActivityPermitsIssued]</v>
      </c>
    </row>
    <row r="70" spans="1:15" x14ac:dyDescent="0.3">
      <c r="A70" t="s">
        <v>2277</v>
      </c>
      <c r="B70" t="s">
        <v>1796</v>
      </c>
      <c r="C70" t="s">
        <v>1799</v>
      </c>
      <c r="D70">
        <v>13</v>
      </c>
      <c r="E70" t="s">
        <v>1447</v>
      </c>
      <c r="F70" t="s">
        <v>1800</v>
      </c>
      <c r="G70" t="s">
        <v>1759</v>
      </c>
      <c r="H70" t="s">
        <v>2279</v>
      </c>
      <c r="I70" t="s">
        <v>2279</v>
      </c>
      <c r="J70" t="s">
        <v>2279</v>
      </c>
      <c r="K70" t="s">
        <v>2279</v>
      </c>
      <c r="L70" t="s">
        <v>1419</v>
      </c>
      <c r="M70" t="s">
        <v>2279</v>
      </c>
      <c r="N70" t="s">
        <v>2279</v>
      </c>
      <c r="O70" s="190" t="str">
        <f>"["&amp;$C70&amp;"]["&amp;$D70&amp;"]["&amp;$F70&amp;"]"</f>
        <v>[S03_ActivityPermits][13][ActivityPermitsIssued]</v>
      </c>
    </row>
    <row r="71" spans="1:15" x14ac:dyDescent="0.3">
      <c r="A71" t="s">
        <v>2277</v>
      </c>
      <c r="B71" t="s">
        <v>1796</v>
      </c>
      <c r="C71" t="s">
        <v>1799</v>
      </c>
      <c r="D71">
        <v>14</v>
      </c>
      <c r="E71" t="s">
        <v>1447</v>
      </c>
      <c r="F71" t="s">
        <v>1800</v>
      </c>
      <c r="G71" t="s">
        <v>1759</v>
      </c>
      <c r="H71" t="s">
        <v>2279</v>
      </c>
      <c r="I71" t="s">
        <v>2279</v>
      </c>
      <c r="J71" t="s">
        <v>2279</v>
      </c>
      <c r="K71" t="s">
        <v>2279</v>
      </c>
      <c r="L71" t="s">
        <v>1419</v>
      </c>
      <c r="M71" t="s">
        <v>2279</v>
      </c>
      <c r="N71" t="s">
        <v>2279</v>
      </c>
      <c r="O71" s="190" t="str">
        <f>"["&amp;$C71&amp;"]["&amp;$D71&amp;"]["&amp;$F71&amp;"]"</f>
        <v>[S03_ActivityPermits][14][ActivityPermitsIssued]</v>
      </c>
    </row>
    <row r="72" spans="1:15" x14ac:dyDescent="0.3">
      <c r="A72" t="s">
        <v>2277</v>
      </c>
      <c r="B72" t="s">
        <v>1796</v>
      </c>
      <c r="C72" t="s">
        <v>1799</v>
      </c>
      <c r="D72">
        <v>15</v>
      </c>
      <c r="E72" t="s">
        <v>1447</v>
      </c>
      <c r="F72" t="s">
        <v>1800</v>
      </c>
      <c r="G72" t="s">
        <v>1759</v>
      </c>
      <c r="H72" t="s">
        <v>2279</v>
      </c>
      <c r="I72" t="s">
        <v>2279</v>
      </c>
      <c r="J72" t="s">
        <v>2279</v>
      </c>
      <c r="K72" t="s">
        <v>2279</v>
      </c>
      <c r="L72" t="s">
        <v>1419</v>
      </c>
      <c r="M72" t="s">
        <v>2279</v>
      </c>
      <c r="N72" t="s">
        <v>2279</v>
      </c>
      <c r="O72" s="190" t="str">
        <f>"["&amp;$C72&amp;"]["&amp;$D72&amp;"]["&amp;$F72&amp;"]"</f>
        <v>[S03_ActivityPermits][15][ActivityPermitsIssued]</v>
      </c>
    </row>
    <row r="73" spans="1:15" x14ac:dyDescent="0.3">
      <c r="A73" t="s">
        <v>2277</v>
      </c>
      <c r="B73" t="s">
        <v>1796</v>
      </c>
      <c r="C73" t="s">
        <v>1799</v>
      </c>
      <c r="D73">
        <v>16</v>
      </c>
      <c r="E73" t="s">
        <v>1447</v>
      </c>
      <c r="F73" t="s">
        <v>1800</v>
      </c>
      <c r="G73" t="s">
        <v>1759</v>
      </c>
      <c r="H73" t="s">
        <v>2279</v>
      </c>
      <c r="I73" t="s">
        <v>2279</v>
      </c>
      <c r="J73" t="s">
        <v>2279</v>
      </c>
      <c r="K73" t="s">
        <v>2279</v>
      </c>
      <c r="L73" t="s">
        <v>1419</v>
      </c>
      <c r="M73" t="s">
        <v>2279</v>
      </c>
      <c r="N73" t="s">
        <v>2279</v>
      </c>
      <c r="O73" s="190" t="str">
        <f>"["&amp;$C73&amp;"]["&amp;$D73&amp;"]["&amp;$F73&amp;"]"</f>
        <v>[S03_ActivityPermits][16][ActivityPermitsIssued]</v>
      </c>
    </row>
    <row r="74" spans="1:15" x14ac:dyDescent="0.3">
      <c r="A74" t="s">
        <v>2277</v>
      </c>
      <c r="B74" t="s">
        <v>1796</v>
      </c>
      <c r="C74" t="s">
        <v>1799</v>
      </c>
      <c r="D74">
        <v>17</v>
      </c>
      <c r="E74" t="s">
        <v>1447</v>
      </c>
      <c r="F74" t="s">
        <v>1800</v>
      </c>
      <c r="G74" t="s">
        <v>1759</v>
      </c>
      <c r="H74" t="s">
        <v>2279</v>
      </c>
      <c r="I74" t="s">
        <v>2279</v>
      </c>
      <c r="J74" t="s">
        <v>2279</v>
      </c>
      <c r="K74" t="s">
        <v>2279</v>
      </c>
      <c r="L74" t="s">
        <v>1419</v>
      </c>
      <c r="M74" t="s">
        <v>2279</v>
      </c>
      <c r="N74" t="s">
        <v>2279</v>
      </c>
      <c r="O74" s="190" t="str">
        <f>"["&amp;$C74&amp;"]["&amp;$D74&amp;"]["&amp;$F74&amp;"]"</f>
        <v>[S03_ActivityPermits][17][ActivityPermitsIssued]</v>
      </c>
    </row>
    <row r="75" spans="1:15" x14ac:dyDescent="0.3">
      <c r="A75" t="s">
        <v>2277</v>
      </c>
      <c r="B75" t="s">
        <v>1796</v>
      </c>
      <c r="C75" t="s">
        <v>1799</v>
      </c>
      <c r="D75">
        <v>18</v>
      </c>
      <c r="E75" t="s">
        <v>1447</v>
      </c>
      <c r="F75" t="s">
        <v>1800</v>
      </c>
      <c r="G75" t="s">
        <v>1759</v>
      </c>
      <c r="H75" t="s">
        <v>2279</v>
      </c>
      <c r="I75" t="s">
        <v>2279</v>
      </c>
      <c r="J75" t="s">
        <v>2279</v>
      </c>
      <c r="K75" t="s">
        <v>2279</v>
      </c>
      <c r="L75" t="s">
        <v>1447</v>
      </c>
      <c r="M75" t="s">
        <v>2279</v>
      </c>
      <c r="N75" t="s">
        <v>2279</v>
      </c>
      <c r="O75" s="190" t="str">
        <f>"["&amp;$C75&amp;"]["&amp;$D75&amp;"]["&amp;$F75&amp;"]"</f>
        <v>[S03_ActivityPermits][18][ActivityPermitsIssued]</v>
      </c>
    </row>
    <row r="76" spans="1:15" x14ac:dyDescent="0.3">
      <c r="A76" t="s">
        <v>2277</v>
      </c>
      <c r="B76" t="s">
        <v>1796</v>
      </c>
      <c r="C76" t="s">
        <v>1799</v>
      </c>
      <c r="D76">
        <v>19</v>
      </c>
      <c r="E76" t="s">
        <v>1447</v>
      </c>
      <c r="F76" t="s">
        <v>1800</v>
      </c>
      <c r="G76" t="s">
        <v>1759</v>
      </c>
      <c r="H76" t="s">
        <v>2279</v>
      </c>
      <c r="I76" t="s">
        <v>2279</v>
      </c>
      <c r="J76" t="s">
        <v>2279</v>
      </c>
      <c r="K76" t="s">
        <v>2279</v>
      </c>
      <c r="L76" t="s">
        <v>1447</v>
      </c>
      <c r="M76" t="s">
        <v>2279</v>
      </c>
      <c r="N76" t="s">
        <v>2279</v>
      </c>
      <c r="O76" s="190" t="str">
        <f>"["&amp;$C76&amp;"]["&amp;$D76&amp;"]["&amp;$F76&amp;"]"</f>
        <v>[S03_ActivityPermits][19][ActivityPermitsIssued]</v>
      </c>
    </row>
    <row r="77" spans="1:15" x14ac:dyDescent="0.3">
      <c r="A77" t="s">
        <v>2277</v>
      </c>
      <c r="B77" t="s">
        <v>1796</v>
      </c>
      <c r="C77" t="s">
        <v>1799</v>
      </c>
      <c r="D77">
        <v>20</v>
      </c>
      <c r="E77" t="s">
        <v>1447</v>
      </c>
      <c r="F77" t="s">
        <v>1800</v>
      </c>
      <c r="G77" t="s">
        <v>1759</v>
      </c>
      <c r="H77" t="s">
        <v>2279</v>
      </c>
      <c r="I77" t="s">
        <v>2279</v>
      </c>
      <c r="J77" t="s">
        <v>2279</v>
      </c>
      <c r="K77" t="s">
        <v>2279</v>
      </c>
      <c r="L77" t="s">
        <v>1447</v>
      </c>
      <c r="M77" t="s">
        <v>2279</v>
      </c>
      <c r="N77" t="s">
        <v>2279</v>
      </c>
      <c r="O77" s="190" t="str">
        <f>"["&amp;$C77&amp;"]["&amp;$D77&amp;"]["&amp;$F77&amp;"]"</f>
        <v>[S03_ActivityPermits][20][ActivityPermitsIssued]</v>
      </c>
    </row>
    <row r="78" spans="1:15" x14ac:dyDescent="0.3">
      <c r="A78" t="s">
        <v>2277</v>
      </c>
      <c r="B78" t="s">
        <v>1796</v>
      </c>
      <c r="C78" t="s">
        <v>1799</v>
      </c>
      <c r="D78">
        <v>21</v>
      </c>
      <c r="E78" t="s">
        <v>1447</v>
      </c>
      <c r="F78" t="s">
        <v>1800</v>
      </c>
      <c r="G78" t="s">
        <v>1759</v>
      </c>
      <c r="H78" t="s">
        <v>2279</v>
      </c>
      <c r="I78" t="s">
        <v>2279</v>
      </c>
      <c r="J78" t="s">
        <v>2279</v>
      </c>
      <c r="K78" t="s">
        <v>2279</v>
      </c>
      <c r="L78" t="s">
        <v>1447</v>
      </c>
      <c r="M78" t="s">
        <v>2279</v>
      </c>
      <c r="N78" t="s">
        <v>2279</v>
      </c>
      <c r="O78" s="190" t="str">
        <f>"["&amp;$C78&amp;"]["&amp;$D78&amp;"]["&amp;$F78&amp;"]"</f>
        <v>[S03_ActivityPermits][21][ActivityPermitsIssued]</v>
      </c>
    </row>
    <row r="79" spans="1:15" x14ac:dyDescent="0.3">
      <c r="A79" t="s">
        <v>2277</v>
      </c>
      <c r="B79" t="s">
        <v>1796</v>
      </c>
      <c r="C79" t="s">
        <v>1799</v>
      </c>
      <c r="D79">
        <v>22</v>
      </c>
      <c r="E79" t="s">
        <v>1447</v>
      </c>
      <c r="F79" t="s">
        <v>1800</v>
      </c>
      <c r="G79" t="s">
        <v>1759</v>
      </c>
      <c r="H79" t="s">
        <v>2279</v>
      </c>
      <c r="I79" t="s">
        <v>2279</v>
      </c>
      <c r="J79" t="s">
        <v>2279</v>
      </c>
      <c r="K79" t="s">
        <v>2279</v>
      </c>
      <c r="L79" t="s">
        <v>1447</v>
      </c>
      <c r="M79" t="s">
        <v>2279</v>
      </c>
      <c r="N79" t="s">
        <v>2279</v>
      </c>
      <c r="O79" s="190" t="str">
        <f>"["&amp;$C79&amp;"]["&amp;$D79&amp;"]["&amp;$F79&amp;"]"</f>
        <v>[S03_ActivityPermits][22][ActivityPermitsIssued]</v>
      </c>
    </row>
    <row r="80" spans="1:15" x14ac:dyDescent="0.3">
      <c r="A80" t="s">
        <v>2277</v>
      </c>
      <c r="B80" t="s">
        <v>1796</v>
      </c>
      <c r="C80" t="s">
        <v>1799</v>
      </c>
      <c r="D80">
        <v>23</v>
      </c>
      <c r="E80" t="s">
        <v>1447</v>
      </c>
      <c r="F80" t="s">
        <v>1800</v>
      </c>
      <c r="G80" t="s">
        <v>1759</v>
      </c>
      <c r="H80" t="s">
        <v>2279</v>
      </c>
      <c r="I80" t="s">
        <v>2279</v>
      </c>
      <c r="J80" t="s">
        <v>2279</v>
      </c>
      <c r="K80" t="s">
        <v>2279</v>
      </c>
      <c r="L80" t="s">
        <v>1447</v>
      </c>
      <c r="M80" t="s">
        <v>2279</v>
      </c>
      <c r="N80" t="s">
        <v>2279</v>
      </c>
      <c r="O80" s="190" t="str">
        <f>"["&amp;$C80&amp;"]["&amp;$D80&amp;"]["&amp;$F80&amp;"]"</f>
        <v>[S03_ActivityPermits][23][ActivityPermitsIssued]</v>
      </c>
    </row>
    <row r="81" spans="1:15" x14ac:dyDescent="0.3">
      <c r="A81" t="s">
        <v>2277</v>
      </c>
      <c r="B81" t="s">
        <v>1796</v>
      </c>
      <c r="C81" t="s">
        <v>1799</v>
      </c>
      <c r="D81">
        <v>24</v>
      </c>
      <c r="E81" t="s">
        <v>1447</v>
      </c>
      <c r="F81" t="s">
        <v>1800</v>
      </c>
      <c r="G81" t="s">
        <v>1759</v>
      </c>
      <c r="H81" t="s">
        <v>2279</v>
      </c>
      <c r="I81" t="s">
        <v>2279</v>
      </c>
      <c r="J81" t="s">
        <v>2279</v>
      </c>
      <c r="K81" t="s">
        <v>2279</v>
      </c>
      <c r="L81" t="s">
        <v>1447</v>
      </c>
      <c r="M81" t="s">
        <v>2279</v>
      </c>
      <c r="N81" t="s">
        <v>2279</v>
      </c>
      <c r="O81" s="190" t="str">
        <f>"["&amp;$C81&amp;"]["&amp;$D81&amp;"]["&amp;$F81&amp;"]"</f>
        <v>[S03_ActivityPermits][24][ActivityPermitsIssued]</v>
      </c>
    </row>
    <row r="82" spans="1:15" x14ac:dyDescent="0.3">
      <c r="A82" t="s">
        <v>2277</v>
      </c>
      <c r="B82" t="s">
        <v>1796</v>
      </c>
      <c r="C82" t="s">
        <v>1799</v>
      </c>
      <c r="D82">
        <v>25</v>
      </c>
      <c r="E82" t="s">
        <v>1447</v>
      </c>
      <c r="F82" t="s">
        <v>1800</v>
      </c>
      <c r="G82" t="s">
        <v>1759</v>
      </c>
      <c r="H82" t="s">
        <v>2279</v>
      </c>
      <c r="I82" t="s">
        <v>2279</v>
      </c>
      <c r="J82" t="s">
        <v>2279</v>
      </c>
      <c r="K82" t="s">
        <v>2279</v>
      </c>
      <c r="L82" t="s">
        <v>1447</v>
      </c>
      <c r="M82" t="s">
        <v>2279</v>
      </c>
      <c r="N82" t="s">
        <v>2279</v>
      </c>
      <c r="O82" s="190" t="str">
        <f>"["&amp;$C82&amp;"]["&amp;$D82&amp;"]["&amp;$F82&amp;"]"</f>
        <v>[S03_ActivityPermits][25][ActivityPermitsIssued]</v>
      </c>
    </row>
    <row r="83" spans="1:15" x14ac:dyDescent="0.3">
      <c r="A83" t="s">
        <v>2277</v>
      </c>
      <c r="B83" t="s">
        <v>1796</v>
      </c>
      <c r="C83" t="s">
        <v>1799</v>
      </c>
      <c r="D83">
        <v>26</v>
      </c>
      <c r="E83" t="s">
        <v>1447</v>
      </c>
      <c r="F83" t="s">
        <v>1800</v>
      </c>
      <c r="G83" t="s">
        <v>1759</v>
      </c>
      <c r="H83" t="s">
        <v>2279</v>
      </c>
      <c r="I83" t="s">
        <v>2279</v>
      </c>
      <c r="J83" t="s">
        <v>2279</v>
      </c>
      <c r="K83" t="s">
        <v>2279</v>
      </c>
      <c r="L83" t="s">
        <v>1447</v>
      </c>
      <c r="M83" t="s">
        <v>2279</v>
      </c>
      <c r="N83" t="s">
        <v>2279</v>
      </c>
      <c r="O83" s="190" t="str">
        <f>"["&amp;$C83&amp;"]["&amp;$D83&amp;"]["&amp;$F83&amp;"]"</f>
        <v>[S03_ActivityPermits][26][ActivityPermitsIssued]</v>
      </c>
    </row>
    <row r="84" spans="1:15" x14ac:dyDescent="0.3">
      <c r="A84" t="s">
        <v>2277</v>
      </c>
      <c r="B84" t="s">
        <v>1796</v>
      </c>
      <c r="C84" t="s">
        <v>1799</v>
      </c>
      <c r="D84">
        <v>27</v>
      </c>
      <c r="E84" t="s">
        <v>1447</v>
      </c>
      <c r="F84" t="s">
        <v>1800</v>
      </c>
      <c r="G84" t="s">
        <v>1759</v>
      </c>
      <c r="H84" t="s">
        <v>2279</v>
      </c>
      <c r="I84" t="s">
        <v>2279</v>
      </c>
      <c r="J84" t="s">
        <v>2279</v>
      </c>
      <c r="K84" t="s">
        <v>2279</v>
      </c>
      <c r="L84" t="s">
        <v>1447</v>
      </c>
      <c r="M84" t="s">
        <v>2279</v>
      </c>
      <c r="N84" t="s">
        <v>2279</v>
      </c>
      <c r="O84" s="190" t="str">
        <f>"["&amp;$C84&amp;"]["&amp;$D84&amp;"]["&amp;$F84&amp;"]"</f>
        <v>[S03_ActivityPermits][27][ActivityPermitsIssued]</v>
      </c>
    </row>
    <row r="85" spans="1:15" x14ac:dyDescent="0.3">
      <c r="A85" t="s">
        <v>2277</v>
      </c>
      <c r="B85" t="s">
        <v>1796</v>
      </c>
      <c r="C85" t="s">
        <v>1799</v>
      </c>
      <c r="D85">
        <v>28</v>
      </c>
      <c r="E85" t="s">
        <v>1447</v>
      </c>
      <c r="F85" t="s">
        <v>1800</v>
      </c>
      <c r="G85" t="s">
        <v>1759</v>
      </c>
      <c r="H85" t="s">
        <v>2279</v>
      </c>
      <c r="I85" t="s">
        <v>2279</v>
      </c>
      <c r="J85" t="s">
        <v>2279</v>
      </c>
      <c r="K85" t="s">
        <v>2279</v>
      </c>
      <c r="L85" t="s">
        <v>1447</v>
      </c>
      <c r="M85" t="s">
        <v>2279</v>
      </c>
      <c r="N85" t="s">
        <v>2279</v>
      </c>
      <c r="O85" s="190" t="str">
        <f>"["&amp;$C85&amp;"]["&amp;$D85&amp;"]["&amp;$F85&amp;"]"</f>
        <v>[S03_ActivityPermits][28][ActivityPermitsIssued]</v>
      </c>
    </row>
    <row r="86" spans="1:15" x14ac:dyDescent="0.3">
      <c r="A86" t="s">
        <v>2277</v>
      </c>
      <c r="B86" t="s">
        <v>1801</v>
      </c>
      <c r="C86" t="s">
        <v>1802</v>
      </c>
      <c r="D86">
        <v>0</v>
      </c>
      <c r="E86" t="s">
        <v>1447</v>
      </c>
      <c r="F86" t="s">
        <v>1802</v>
      </c>
      <c r="G86" t="s">
        <v>1759</v>
      </c>
      <c r="H86" t="s">
        <v>2279</v>
      </c>
      <c r="I86" t="s">
        <v>2279</v>
      </c>
      <c r="J86" t="s">
        <v>2279</v>
      </c>
      <c r="K86" t="s">
        <v>2279</v>
      </c>
      <c r="L86" t="s">
        <v>1447</v>
      </c>
      <c r="M86" t="s">
        <v>2279</v>
      </c>
      <c r="N86" t="s">
        <v>2279</v>
      </c>
      <c r="O86" s="190" t="str">
        <f>"["&amp;$C86&amp;"]["&amp;$D86&amp;"]["&amp;$F86&amp;"]"</f>
        <v>[InstallationsExcludedArt27][0][InstallationsExcludedArt27]</v>
      </c>
    </row>
    <row r="87" spans="1:15" x14ac:dyDescent="0.3">
      <c r="A87" t="s">
        <v>2277</v>
      </c>
      <c r="B87" t="s">
        <v>1811</v>
      </c>
      <c r="C87" t="s">
        <v>1812</v>
      </c>
      <c r="D87">
        <v>1</v>
      </c>
      <c r="E87" t="s">
        <v>1447</v>
      </c>
      <c r="F87" t="s">
        <v>1813</v>
      </c>
      <c r="G87" t="s">
        <v>1748</v>
      </c>
      <c r="H87" t="s">
        <v>2279</v>
      </c>
      <c r="I87">
        <v>6</v>
      </c>
      <c r="J87" t="s">
        <v>2279</v>
      </c>
      <c r="K87" t="s">
        <v>2279</v>
      </c>
      <c r="L87" t="s">
        <v>2279</v>
      </c>
      <c r="M87" t="s">
        <v>2279</v>
      </c>
      <c r="N87" t="s">
        <v>2279</v>
      </c>
      <c r="O87" s="190" t="str">
        <f>"["&amp;$C87&amp;"]["&amp;$D87&amp;"]["&amp;$F87&amp;"]"</f>
        <v>[S03_AircraftAnnex1Activities][1][NumberCommercialOperators]</v>
      </c>
    </row>
    <row r="88" spans="1:15" x14ac:dyDescent="0.3">
      <c r="A88" t="s">
        <v>2277</v>
      </c>
      <c r="B88" t="s">
        <v>1811</v>
      </c>
      <c r="C88" t="s">
        <v>1812</v>
      </c>
      <c r="D88">
        <v>2</v>
      </c>
      <c r="E88" t="s">
        <v>1447</v>
      </c>
      <c r="F88" t="s">
        <v>1813</v>
      </c>
      <c r="G88" t="s">
        <v>1748</v>
      </c>
      <c r="H88" t="s">
        <v>2279</v>
      </c>
      <c r="I88">
        <v>2</v>
      </c>
      <c r="J88" t="s">
        <v>2279</v>
      </c>
      <c r="K88" t="s">
        <v>2279</v>
      </c>
      <c r="L88" t="s">
        <v>2279</v>
      </c>
      <c r="M88" t="s">
        <v>2279</v>
      </c>
      <c r="N88" t="s">
        <v>2279</v>
      </c>
      <c r="O88" s="190" t="str">
        <f>"["&amp;$C88&amp;"]["&amp;$D88&amp;"]["&amp;$F88&amp;"]"</f>
        <v>[S03_AircraftAnnex1Activities][2][NumberCommercialOperators]</v>
      </c>
    </row>
    <row r="89" spans="1:15" x14ac:dyDescent="0.3">
      <c r="A89" t="s">
        <v>2277</v>
      </c>
      <c r="B89" t="s">
        <v>1811</v>
      </c>
      <c r="C89" t="s">
        <v>1812</v>
      </c>
      <c r="D89">
        <v>3</v>
      </c>
      <c r="E89" t="s">
        <v>1447</v>
      </c>
      <c r="F89" t="s">
        <v>1813</v>
      </c>
      <c r="G89" t="s">
        <v>1748</v>
      </c>
      <c r="H89" t="s">
        <v>2279</v>
      </c>
      <c r="I89">
        <v>8</v>
      </c>
      <c r="J89" t="s">
        <v>2279</v>
      </c>
      <c r="K89" t="s">
        <v>2279</v>
      </c>
      <c r="L89" t="s">
        <v>2279</v>
      </c>
      <c r="M89" t="s">
        <v>2279</v>
      </c>
      <c r="N89" t="s">
        <v>2279</v>
      </c>
      <c r="O89" s="190" t="str">
        <f>"["&amp;$C89&amp;"]["&amp;$D89&amp;"]["&amp;$F89&amp;"]"</f>
        <v>[S03_AircraftAnnex1Activities][3][NumberCommercialOperators]</v>
      </c>
    </row>
    <row r="90" spans="1:15" x14ac:dyDescent="0.3">
      <c r="A90" t="s">
        <v>2277</v>
      </c>
      <c r="B90" t="s">
        <v>1811</v>
      </c>
      <c r="C90" t="s">
        <v>1812</v>
      </c>
      <c r="D90">
        <v>1</v>
      </c>
      <c r="E90" t="s">
        <v>1447</v>
      </c>
      <c r="F90" t="s">
        <v>1814</v>
      </c>
      <c r="G90" t="s">
        <v>1748</v>
      </c>
      <c r="H90" t="s">
        <v>2279</v>
      </c>
      <c r="I90">
        <v>0</v>
      </c>
      <c r="J90" t="s">
        <v>2279</v>
      </c>
      <c r="K90" t="s">
        <v>2279</v>
      </c>
      <c r="L90" t="s">
        <v>2279</v>
      </c>
      <c r="M90" t="s">
        <v>2279</v>
      </c>
      <c r="N90" t="s">
        <v>2279</v>
      </c>
      <c r="O90" s="190" t="str">
        <f>"["&amp;$C90&amp;"]["&amp;$D90&amp;"]["&amp;$F90&amp;"]"</f>
        <v>[S03_AircraftAnnex1Activities][1][NumberNonCommercialOperators]</v>
      </c>
    </row>
    <row r="91" spans="1:15" x14ac:dyDescent="0.3">
      <c r="A91" t="s">
        <v>2277</v>
      </c>
      <c r="B91" t="s">
        <v>1811</v>
      </c>
      <c r="C91" t="s">
        <v>1812</v>
      </c>
      <c r="D91">
        <v>2</v>
      </c>
      <c r="E91" t="s">
        <v>1447</v>
      </c>
      <c r="F91" t="s">
        <v>1814</v>
      </c>
      <c r="G91" t="s">
        <v>1748</v>
      </c>
      <c r="H91" t="s">
        <v>2279</v>
      </c>
      <c r="I91">
        <v>0</v>
      </c>
      <c r="J91" t="s">
        <v>2279</v>
      </c>
      <c r="K91" t="s">
        <v>2279</v>
      </c>
      <c r="L91" t="s">
        <v>2279</v>
      </c>
      <c r="M91" t="s">
        <v>2279</v>
      </c>
      <c r="N91" t="s">
        <v>2279</v>
      </c>
      <c r="O91" s="190" t="str">
        <f>"["&amp;$C91&amp;"]["&amp;$D91&amp;"]["&amp;$F91&amp;"]"</f>
        <v>[S03_AircraftAnnex1Activities][2][NumberNonCommercialOperators]</v>
      </c>
    </row>
    <row r="92" spans="1:15" x14ac:dyDescent="0.3">
      <c r="A92" t="s">
        <v>2277</v>
      </c>
      <c r="B92" t="s">
        <v>1811</v>
      </c>
      <c r="C92" t="s">
        <v>1812</v>
      </c>
      <c r="D92">
        <v>3</v>
      </c>
      <c r="E92" t="s">
        <v>1447</v>
      </c>
      <c r="F92" t="s">
        <v>1814</v>
      </c>
      <c r="G92" t="s">
        <v>1748</v>
      </c>
      <c r="H92" t="s">
        <v>2279</v>
      </c>
      <c r="I92">
        <v>0</v>
      </c>
      <c r="J92" t="s">
        <v>2279</v>
      </c>
      <c r="K92" t="s">
        <v>2279</v>
      </c>
      <c r="L92" t="s">
        <v>2279</v>
      </c>
      <c r="M92" t="s">
        <v>2279</v>
      </c>
      <c r="N92" t="s">
        <v>2279</v>
      </c>
      <c r="O92" s="190" t="str">
        <f>"["&amp;$C92&amp;"]["&amp;$D92&amp;"]["&amp;$F92&amp;"]"</f>
        <v>[S03_AircraftAnnex1Activities][3][NumberNonCommercialOperators]</v>
      </c>
    </row>
    <row r="93" spans="1:15" x14ac:dyDescent="0.3">
      <c r="A93" t="s">
        <v>2277</v>
      </c>
      <c r="B93" t="s">
        <v>1811</v>
      </c>
      <c r="C93" t="s">
        <v>1812</v>
      </c>
      <c r="D93">
        <v>1</v>
      </c>
      <c r="E93" t="s">
        <v>1447</v>
      </c>
      <c r="F93" t="s">
        <v>1815</v>
      </c>
      <c r="G93" t="s">
        <v>1748</v>
      </c>
      <c r="H93" t="s">
        <v>2279</v>
      </c>
      <c r="I93">
        <v>6</v>
      </c>
      <c r="J93" t="s">
        <v>2279</v>
      </c>
      <c r="K93" t="s">
        <v>2279</v>
      </c>
      <c r="L93" t="s">
        <v>2279</v>
      </c>
      <c r="M93" t="s">
        <v>2279</v>
      </c>
      <c r="N93" t="s">
        <v>2279</v>
      </c>
      <c r="O93" s="190" t="str">
        <f>"["&amp;$C93&amp;"]["&amp;$D93&amp;"]["&amp;$F93&amp;"]"</f>
        <v>[S03_AircraftAnnex1Activities][1][NumberTotalOperators]</v>
      </c>
    </row>
    <row r="94" spans="1:15" x14ac:dyDescent="0.3">
      <c r="A94" t="s">
        <v>2277</v>
      </c>
      <c r="B94" t="s">
        <v>1811</v>
      </c>
      <c r="C94" t="s">
        <v>1812</v>
      </c>
      <c r="D94">
        <v>2</v>
      </c>
      <c r="E94" t="s">
        <v>1447</v>
      </c>
      <c r="F94" t="s">
        <v>1815</v>
      </c>
      <c r="G94" t="s">
        <v>1748</v>
      </c>
      <c r="H94" t="s">
        <v>2279</v>
      </c>
      <c r="I94">
        <v>2</v>
      </c>
      <c r="J94" t="s">
        <v>2279</v>
      </c>
      <c r="K94" t="s">
        <v>2279</v>
      </c>
      <c r="L94" t="s">
        <v>2279</v>
      </c>
      <c r="M94" t="s">
        <v>2279</v>
      </c>
      <c r="N94" t="s">
        <v>2279</v>
      </c>
      <c r="O94" s="190" t="str">
        <f>"["&amp;$C94&amp;"]["&amp;$D94&amp;"]["&amp;$F94&amp;"]"</f>
        <v>[S03_AircraftAnnex1Activities][2][NumberTotalOperators]</v>
      </c>
    </row>
    <row r="95" spans="1:15" x14ac:dyDescent="0.3">
      <c r="A95" t="s">
        <v>2277</v>
      </c>
      <c r="B95" t="s">
        <v>1811</v>
      </c>
      <c r="C95" t="s">
        <v>1812</v>
      </c>
      <c r="D95">
        <v>3</v>
      </c>
      <c r="E95" t="s">
        <v>1447</v>
      </c>
      <c r="F95" t="s">
        <v>1815</v>
      </c>
      <c r="G95" t="s">
        <v>1748</v>
      </c>
      <c r="H95" t="s">
        <v>2279</v>
      </c>
      <c r="I95">
        <v>8</v>
      </c>
      <c r="J95" t="s">
        <v>2279</v>
      </c>
      <c r="K95" t="s">
        <v>2279</v>
      </c>
      <c r="L95" t="s">
        <v>2279</v>
      </c>
      <c r="M95" t="s">
        <v>2279</v>
      </c>
      <c r="N95" t="s">
        <v>2279</v>
      </c>
      <c r="O95" s="190" t="str">
        <f>"["&amp;$C95&amp;"]["&amp;$D95&amp;"]["&amp;$F95&amp;"]"</f>
        <v>[S03_AircraftAnnex1Activities][3][NumberTotalOperators]</v>
      </c>
    </row>
    <row r="96" spans="1:15" x14ac:dyDescent="0.3">
      <c r="A96" t="s">
        <v>2277</v>
      </c>
      <c r="B96" t="s">
        <v>1816</v>
      </c>
      <c r="C96" t="s">
        <v>1817</v>
      </c>
      <c r="D96">
        <v>1</v>
      </c>
      <c r="E96" t="s">
        <v>1447</v>
      </c>
      <c r="F96" t="s">
        <v>1818</v>
      </c>
      <c r="G96" t="s">
        <v>1737</v>
      </c>
      <c r="H96" t="s">
        <v>2279</v>
      </c>
      <c r="I96" t="s">
        <v>2279</v>
      </c>
      <c r="J96" t="s">
        <v>2279</v>
      </c>
      <c r="K96" t="s">
        <v>2279</v>
      </c>
      <c r="L96" t="s">
        <v>1447</v>
      </c>
      <c r="M96" t="s">
        <v>2279</v>
      </c>
      <c r="N96" t="s">
        <v>2279</v>
      </c>
      <c r="O96" s="190" t="str">
        <f>"["&amp;$C96&amp;"]["&amp;$D96&amp;"]["&amp;$F96&amp;"]"</f>
        <v>[S04_IEDProcedureRequirementsIntegratedYes][1][IntegrationYesNo]</v>
      </c>
    </row>
    <row r="97" spans="1:15" x14ac:dyDescent="0.3">
      <c r="A97" t="s">
        <v>2277</v>
      </c>
      <c r="B97" t="s">
        <v>1816</v>
      </c>
      <c r="C97" t="s">
        <v>1817</v>
      </c>
      <c r="D97">
        <v>2</v>
      </c>
      <c r="E97" t="s">
        <v>1447</v>
      </c>
      <c r="F97" t="s">
        <v>1818</v>
      </c>
      <c r="G97" t="s">
        <v>1737</v>
      </c>
      <c r="H97" t="s">
        <v>2279</v>
      </c>
      <c r="I97" t="s">
        <v>2279</v>
      </c>
      <c r="J97" t="s">
        <v>2279</v>
      </c>
      <c r="K97" t="s">
        <v>2279</v>
      </c>
      <c r="L97" t="s">
        <v>1447</v>
      </c>
      <c r="M97" t="s">
        <v>2279</v>
      </c>
      <c r="N97" t="s">
        <v>2279</v>
      </c>
      <c r="O97" s="190" t="str">
        <f>"["&amp;$C97&amp;"]["&amp;$D97&amp;"]["&amp;$F97&amp;"]"</f>
        <v>[S04_IEDProcedureRequirementsIntegratedYes][2][IntegrationYesNo]</v>
      </c>
    </row>
    <row r="98" spans="1:15" x14ac:dyDescent="0.3">
      <c r="A98" t="s">
        <v>2277</v>
      </c>
      <c r="B98" t="s">
        <v>1816</v>
      </c>
      <c r="C98" t="s">
        <v>1817</v>
      </c>
      <c r="D98">
        <v>3</v>
      </c>
      <c r="E98" t="s">
        <v>1447</v>
      </c>
      <c r="F98" t="s">
        <v>1818</v>
      </c>
      <c r="G98" t="s">
        <v>1737</v>
      </c>
      <c r="H98" t="s">
        <v>2279</v>
      </c>
      <c r="I98" t="s">
        <v>2279</v>
      </c>
      <c r="J98" t="s">
        <v>2279</v>
      </c>
      <c r="K98" t="s">
        <v>2279</v>
      </c>
      <c r="L98" t="s">
        <v>1447</v>
      </c>
      <c r="M98" t="s">
        <v>2279</v>
      </c>
      <c r="N98" t="s">
        <v>2279</v>
      </c>
      <c r="O98" s="190" t="str">
        <f>"["&amp;$C98&amp;"]["&amp;$D98&amp;"]["&amp;$F98&amp;"]"</f>
        <v>[S04_IEDProcedureRequirementsIntegratedYes][3][IntegrationYesNo]</v>
      </c>
    </row>
    <row r="99" spans="1:15" x14ac:dyDescent="0.3">
      <c r="A99" t="s">
        <v>2277</v>
      </c>
      <c r="B99" t="s">
        <v>1816</v>
      </c>
      <c r="C99" t="s">
        <v>1817</v>
      </c>
      <c r="D99">
        <v>4</v>
      </c>
      <c r="E99" t="s">
        <v>1447</v>
      </c>
      <c r="F99" t="s">
        <v>1818</v>
      </c>
      <c r="G99" t="s">
        <v>1737</v>
      </c>
      <c r="H99" t="s">
        <v>2279</v>
      </c>
      <c r="I99" t="s">
        <v>2279</v>
      </c>
      <c r="J99" t="s">
        <v>2279</v>
      </c>
      <c r="K99" t="s">
        <v>2279</v>
      </c>
      <c r="L99" t="s">
        <v>1447</v>
      </c>
      <c r="M99" t="s">
        <v>2279</v>
      </c>
      <c r="N99" t="s">
        <v>2279</v>
      </c>
      <c r="O99" s="190" t="str">
        <f>"["&amp;$C99&amp;"]["&amp;$D99&amp;"]["&amp;$F99&amp;"]"</f>
        <v>[S04_IEDProcedureRequirementsIntegratedYes][4][IntegrationYesNo]</v>
      </c>
    </row>
    <row r="100" spans="1:15" x14ac:dyDescent="0.3">
      <c r="A100" t="s">
        <v>2277</v>
      </c>
      <c r="B100" t="s">
        <v>1816</v>
      </c>
      <c r="C100" t="s">
        <v>1817</v>
      </c>
      <c r="D100">
        <v>5</v>
      </c>
      <c r="E100" t="s">
        <v>1447</v>
      </c>
      <c r="F100" t="s">
        <v>1818</v>
      </c>
      <c r="G100" t="s">
        <v>1737</v>
      </c>
      <c r="H100" t="s">
        <v>2279</v>
      </c>
      <c r="I100" t="s">
        <v>2279</v>
      </c>
      <c r="J100" t="s">
        <v>2279</v>
      </c>
      <c r="K100" t="s">
        <v>2279</v>
      </c>
      <c r="L100" t="s">
        <v>1447</v>
      </c>
      <c r="M100" t="s">
        <v>2279</v>
      </c>
      <c r="N100" t="s">
        <v>2279</v>
      </c>
      <c r="O100" s="190" t="str">
        <f>"["&amp;$C100&amp;"]["&amp;$D100&amp;"]["&amp;$F100&amp;"]"</f>
        <v>[S04_IEDProcedureRequirementsIntegratedYes][5][IntegrationYesNo]</v>
      </c>
    </row>
    <row r="101" spans="1:15" x14ac:dyDescent="0.3">
      <c r="A101" t="s">
        <v>2277</v>
      </c>
      <c r="B101" t="s">
        <v>1816</v>
      </c>
      <c r="C101" t="s">
        <v>1817</v>
      </c>
      <c r="D101">
        <v>6</v>
      </c>
      <c r="E101" t="s">
        <v>1447</v>
      </c>
      <c r="F101" t="s">
        <v>1818</v>
      </c>
      <c r="G101" t="s">
        <v>1737</v>
      </c>
      <c r="H101" t="s">
        <v>2279</v>
      </c>
      <c r="I101" t="s">
        <v>2279</v>
      </c>
      <c r="J101" t="s">
        <v>2279</v>
      </c>
      <c r="K101" t="s">
        <v>2279</v>
      </c>
      <c r="L101" t="s">
        <v>1447</v>
      </c>
      <c r="M101" t="s">
        <v>2279</v>
      </c>
      <c r="N101" t="s">
        <v>2279</v>
      </c>
      <c r="O101" s="190" t="str">
        <f>"["&amp;$C101&amp;"]["&amp;$D101&amp;"]["&amp;$F101&amp;"]"</f>
        <v>[S04_IEDProcedureRequirementsIntegratedYes][6][IntegrationYesNo]</v>
      </c>
    </row>
    <row r="102" spans="1:15" x14ac:dyDescent="0.3">
      <c r="A102" t="s">
        <v>2277</v>
      </c>
      <c r="B102" t="s">
        <v>1816</v>
      </c>
      <c r="C102" t="s">
        <v>1817</v>
      </c>
      <c r="D102">
        <v>7</v>
      </c>
      <c r="E102" t="s">
        <v>1447</v>
      </c>
      <c r="F102" t="s">
        <v>1818</v>
      </c>
      <c r="G102" t="s">
        <v>1737</v>
      </c>
      <c r="H102" t="s">
        <v>2279</v>
      </c>
      <c r="I102" t="s">
        <v>2279</v>
      </c>
      <c r="J102" t="s">
        <v>2279</v>
      </c>
      <c r="K102" t="s">
        <v>2279</v>
      </c>
      <c r="L102" t="s">
        <v>1447</v>
      </c>
      <c r="M102" t="s">
        <v>2279</v>
      </c>
      <c r="N102" t="s">
        <v>2279</v>
      </c>
      <c r="O102" s="190" t="str">
        <f>"["&amp;$C102&amp;"]["&amp;$D102&amp;"]["&amp;$F102&amp;"]"</f>
        <v>[S04_IEDProcedureRequirementsIntegratedYes][7][IntegrationYesNo]</v>
      </c>
    </row>
    <row r="103" spans="1:15" x14ac:dyDescent="0.3">
      <c r="A103" t="s">
        <v>2277</v>
      </c>
      <c r="B103" t="s">
        <v>1816</v>
      </c>
      <c r="C103" t="s">
        <v>1817</v>
      </c>
      <c r="D103">
        <v>8</v>
      </c>
      <c r="E103" t="s">
        <v>1447</v>
      </c>
      <c r="F103" t="s">
        <v>1818</v>
      </c>
      <c r="G103" t="s">
        <v>1737</v>
      </c>
      <c r="H103" t="s">
        <v>2279</v>
      </c>
      <c r="I103" t="s">
        <v>2279</v>
      </c>
      <c r="J103" t="s">
        <v>2279</v>
      </c>
      <c r="K103" t="s">
        <v>2279</v>
      </c>
      <c r="L103" t="s">
        <v>1419</v>
      </c>
      <c r="M103" t="s">
        <v>2279</v>
      </c>
      <c r="N103" t="s">
        <v>2279</v>
      </c>
      <c r="O103" s="190" t="str">
        <f>"["&amp;$C103&amp;"]["&amp;$D103&amp;"]["&amp;$F103&amp;"]"</f>
        <v>[S04_IEDProcedureRequirementsIntegratedYes][8][IntegrationYesNo]</v>
      </c>
    </row>
    <row r="104" spans="1:15" x14ac:dyDescent="0.3">
      <c r="A104" t="s">
        <v>2277</v>
      </c>
      <c r="B104" t="s">
        <v>1816</v>
      </c>
      <c r="C104" t="s">
        <v>1817</v>
      </c>
      <c r="D104">
        <v>8</v>
      </c>
      <c r="E104" t="s">
        <v>1447</v>
      </c>
      <c r="F104" t="s">
        <v>1819</v>
      </c>
      <c r="G104" t="s">
        <v>1791</v>
      </c>
      <c r="H104" t="s">
        <v>2279</v>
      </c>
      <c r="I104" t="s">
        <v>2279</v>
      </c>
      <c r="J104" t="s">
        <v>2279</v>
      </c>
      <c r="K104" t="s">
        <v>2302</v>
      </c>
      <c r="L104" t="s">
        <v>2279</v>
      </c>
      <c r="M104" t="s">
        <v>2279</v>
      </c>
      <c r="N104" t="s">
        <v>2279</v>
      </c>
      <c r="O104" s="190" t="str">
        <f>"["&amp;$C104&amp;"]["&amp;$D104&amp;"]["&amp;$F104&amp;"]"</f>
        <v>[S04_IEDProcedureRequirementsIntegratedYes][8][IntegrationComments]</v>
      </c>
    </row>
    <row r="105" spans="1:15" x14ac:dyDescent="0.3">
      <c r="A105" t="s">
        <v>2277</v>
      </c>
      <c r="B105" t="s">
        <v>1820</v>
      </c>
      <c r="C105" t="s">
        <v>1821</v>
      </c>
      <c r="D105">
        <v>1</v>
      </c>
      <c r="E105" t="s">
        <v>1447</v>
      </c>
      <c r="F105" t="s">
        <v>1822</v>
      </c>
      <c r="G105" t="s">
        <v>1741</v>
      </c>
      <c r="H105" t="s">
        <v>2303</v>
      </c>
      <c r="I105" t="s">
        <v>2279</v>
      </c>
      <c r="J105" t="s">
        <v>2279</v>
      </c>
      <c r="K105" t="s">
        <v>2279</v>
      </c>
      <c r="L105" t="s">
        <v>2279</v>
      </c>
      <c r="M105" t="s">
        <v>2279</v>
      </c>
      <c r="N105" t="s">
        <v>2279</v>
      </c>
      <c r="O105" s="190" t="str">
        <f>"["&amp;$C105&amp;"]["&amp;$D105&amp;"]["&amp;$F105&amp;"]"</f>
        <v>[S04_NationalLawPermitUpdate][1][PermitUpdateNationalLawDetail]</v>
      </c>
    </row>
    <row r="106" spans="1:15" x14ac:dyDescent="0.3">
      <c r="A106" t="s">
        <v>2277</v>
      </c>
      <c r="B106" t="s">
        <v>1820</v>
      </c>
      <c r="C106" t="s">
        <v>1821</v>
      </c>
      <c r="D106">
        <v>2</v>
      </c>
      <c r="E106" t="s">
        <v>1447</v>
      </c>
      <c r="F106" t="s">
        <v>1822</v>
      </c>
      <c r="G106" t="s">
        <v>1741</v>
      </c>
      <c r="H106" t="s">
        <v>1447</v>
      </c>
      <c r="I106" t="s">
        <v>2279</v>
      </c>
      <c r="J106" t="s">
        <v>2279</v>
      </c>
      <c r="K106" t="s">
        <v>2279</v>
      </c>
      <c r="L106" t="s">
        <v>2279</v>
      </c>
      <c r="M106" t="s">
        <v>2279</v>
      </c>
      <c r="N106" t="s">
        <v>2279</v>
      </c>
      <c r="O106" s="190" t="str">
        <f>"["&amp;$C106&amp;"]["&amp;$D106&amp;"]["&amp;$F106&amp;"]"</f>
        <v>[S04_NationalLawPermitUpdate][2][PermitUpdateNationalLawDetail]</v>
      </c>
    </row>
    <row r="107" spans="1:15" x14ac:dyDescent="0.3">
      <c r="A107" t="s">
        <v>2277</v>
      </c>
      <c r="B107" t="s">
        <v>1820</v>
      </c>
      <c r="C107" t="s">
        <v>1821</v>
      </c>
      <c r="D107">
        <v>3</v>
      </c>
      <c r="E107" t="s">
        <v>1447</v>
      </c>
      <c r="F107" t="s">
        <v>1822</v>
      </c>
      <c r="G107" t="s">
        <v>1741</v>
      </c>
      <c r="H107" t="s">
        <v>2304</v>
      </c>
      <c r="I107" t="s">
        <v>2279</v>
      </c>
      <c r="J107" t="s">
        <v>2279</v>
      </c>
      <c r="K107" t="s">
        <v>2279</v>
      </c>
      <c r="L107" t="s">
        <v>2279</v>
      </c>
      <c r="M107" t="s">
        <v>2279</v>
      </c>
      <c r="N107" t="s">
        <v>2279</v>
      </c>
      <c r="O107" s="190" t="str">
        <f>"["&amp;$C107&amp;"]["&amp;$D107&amp;"]["&amp;$F107&amp;"]"</f>
        <v>[S04_NationalLawPermitUpdate][3][PermitUpdateNationalLawDetail]</v>
      </c>
    </row>
    <row r="108" spans="1:15" x14ac:dyDescent="0.3">
      <c r="A108" t="s">
        <v>2277</v>
      </c>
      <c r="B108" t="s">
        <v>1820</v>
      </c>
      <c r="C108" t="s">
        <v>1821</v>
      </c>
      <c r="D108">
        <v>4</v>
      </c>
      <c r="E108" t="s">
        <v>1447</v>
      </c>
      <c r="F108" t="s">
        <v>1822</v>
      </c>
      <c r="G108" t="s">
        <v>1741</v>
      </c>
      <c r="H108" t="s">
        <v>2305</v>
      </c>
      <c r="I108" t="s">
        <v>2279</v>
      </c>
      <c r="J108" t="s">
        <v>2279</v>
      </c>
      <c r="K108" t="s">
        <v>2279</v>
      </c>
      <c r="L108" t="s">
        <v>2279</v>
      </c>
      <c r="M108" t="s">
        <v>2279</v>
      </c>
      <c r="N108" t="s">
        <v>2279</v>
      </c>
      <c r="O108" s="190" t="str">
        <f>"["&amp;$C108&amp;"]["&amp;$D108&amp;"]["&amp;$F108&amp;"]"</f>
        <v>[S04_NationalLawPermitUpdate][4][PermitUpdateNationalLawDetail]</v>
      </c>
    </row>
    <row r="109" spans="1:15" x14ac:dyDescent="0.3">
      <c r="A109" t="s">
        <v>2277</v>
      </c>
      <c r="B109" t="s">
        <v>1820</v>
      </c>
      <c r="C109" t="s">
        <v>1821</v>
      </c>
      <c r="D109">
        <v>5</v>
      </c>
      <c r="E109" t="s">
        <v>1447</v>
      </c>
      <c r="F109" t="s">
        <v>1822</v>
      </c>
      <c r="G109" t="s">
        <v>1741</v>
      </c>
      <c r="H109" t="s">
        <v>2306</v>
      </c>
      <c r="I109" t="s">
        <v>2279</v>
      </c>
      <c r="J109" t="s">
        <v>2279</v>
      </c>
      <c r="K109" t="s">
        <v>2279</v>
      </c>
      <c r="L109" t="s">
        <v>2279</v>
      </c>
      <c r="M109" t="s">
        <v>2279</v>
      </c>
      <c r="N109" t="s">
        <v>2279</v>
      </c>
      <c r="O109" s="190" t="str">
        <f>"["&amp;$C109&amp;"]["&amp;$D109&amp;"]["&amp;$F109&amp;"]"</f>
        <v>[S04_NationalLawPermitUpdate][5][PermitUpdateNationalLawDetail]</v>
      </c>
    </row>
    <row r="110" spans="1:15" x14ac:dyDescent="0.3">
      <c r="A110" t="s">
        <v>2277</v>
      </c>
      <c r="B110" t="s">
        <v>1820</v>
      </c>
      <c r="C110" t="s">
        <v>1821</v>
      </c>
      <c r="D110">
        <v>6</v>
      </c>
      <c r="E110" t="s">
        <v>1447</v>
      </c>
      <c r="F110" t="s">
        <v>1822</v>
      </c>
      <c r="G110" t="s">
        <v>1741</v>
      </c>
      <c r="H110" t="s">
        <v>2307</v>
      </c>
      <c r="I110" t="s">
        <v>2279</v>
      </c>
      <c r="J110" t="s">
        <v>2279</v>
      </c>
      <c r="K110" t="s">
        <v>2279</v>
      </c>
      <c r="L110" t="s">
        <v>2279</v>
      </c>
      <c r="M110" t="s">
        <v>2279</v>
      </c>
      <c r="N110" t="s">
        <v>2279</v>
      </c>
      <c r="O110" s="190" t="str">
        <f>"["&amp;$C110&amp;"]["&amp;$D110&amp;"]["&amp;$F110&amp;"]"</f>
        <v>[S04_NationalLawPermitUpdate][6][PermitUpdateNationalLawDetail]</v>
      </c>
    </row>
    <row r="111" spans="1:15" x14ac:dyDescent="0.3">
      <c r="A111" t="s">
        <v>2277</v>
      </c>
      <c r="B111" t="s">
        <v>1820</v>
      </c>
      <c r="C111" t="s">
        <v>1823</v>
      </c>
      <c r="D111">
        <v>0</v>
      </c>
      <c r="E111" t="s">
        <v>1447</v>
      </c>
      <c r="F111" t="s">
        <v>1823</v>
      </c>
      <c r="G111" t="s">
        <v>1748</v>
      </c>
      <c r="H111" t="s">
        <v>2279</v>
      </c>
      <c r="I111">
        <v>152</v>
      </c>
      <c r="J111" t="s">
        <v>2279</v>
      </c>
      <c r="K111" t="s">
        <v>2279</v>
      </c>
      <c r="L111" t="s">
        <v>2279</v>
      </c>
      <c r="M111" t="s">
        <v>2279</v>
      </c>
      <c r="N111" t="s">
        <v>2279</v>
      </c>
      <c r="O111" s="190" t="str">
        <f>"["&amp;$C111&amp;"]["&amp;$D111&amp;"]["&amp;$F111&amp;"]"</f>
        <v>[PermitUpdateTotalNumber][0][PermitUpdateTotalNumber]</v>
      </c>
    </row>
    <row r="112" spans="1:15" x14ac:dyDescent="0.3">
      <c r="A112" t="s">
        <v>2277</v>
      </c>
      <c r="B112" t="s">
        <v>1824</v>
      </c>
      <c r="C112" t="s">
        <v>1825</v>
      </c>
      <c r="D112">
        <v>0</v>
      </c>
      <c r="E112" t="s">
        <v>1447</v>
      </c>
      <c r="F112" t="s">
        <v>1825</v>
      </c>
      <c r="G112" t="s">
        <v>1759</v>
      </c>
      <c r="H112" t="s">
        <v>2279</v>
      </c>
      <c r="I112" t="s">
        <v>2279</v>
      </c>
      <c r="J112" t="s">
        <v>2279</v>
      </c>
      <c r="K112" t="s">
        <v>2279</v>
      </c>
      <c r="L112" t="s">
        <v>1419</v>
      </c>
      <c r="M112" t="s">
        <v>2279</v>
      </c>
      <c r="N112" t="s">
        <v>2279</v>
      </c>
      <c r="O112" s="190" t="str">
        <f>"["&amp;$C112&amp;"]["&amp;$D112&amp;"]["&amp;$F112&amp;"]"</f>
        <v>[AdditionalNationalLegislation][0][AdditionalNationalLegislation]</v>
      </c>
    </row>
    <row r="113" spans="1:15" x14ac:dyDescent="0.3">
      <c r="A113" t="s">
        <v>2277</v>
      </c>
      <c r="B113" t="s">
        <v>1824</v>
      </c>
      <c r="C113" t="s">
        <v>1826</v>
      </c>
      <c r="D113">
        <v>0</v>
      </c>
      <c r="E113" t="s">
        <v>1447</v>
      </c>
      <c r="F113" t="s">
        <v>1826</v>
      </c>
      <c r="G113" t="s">
        <v>1741</v>
      </c>
      <c r="H113" t="s">
        <v>2308</v>
      </c>
      <c r="I113" t="s">
        <v>2279</v>
      </c>
      <c r="J113" t="s">
        <v>2279</v>
      </c>
      <c r="K113" t="s">
        <v>2279</v>
      </c>
      <c r="L113" t="s">
        <v>2279</v>
      </c>
      <c r="M113" t="s">
        <v>2279</v>
      </c>
      <c r="N113" t="s">
        <v>2279</v>
      </c>
      <c r="O113" s="190" t="str">
        <f>"["&amp;$C113&amp;"]["&amp;$D113&amp;"]["&amp;$F113&amp;"]"</f>
        <v>[AdditionalNationalLegislationDetail][0][AdditionalNationalLegislationDetail]</v>
      </c>
    </row>
    <row r="114" spans="1:15" x14ac:dyDescent="0.3">
      <c r="A114" t="s">
        <v>2277</v>
      </c>
      <c r="B114" t="s">
        <v>1824</v>
      </c>
      <c r="C114" t="s">
        <v>1827</v>
      </c>
      <c r="D114">
        <v>0</v>
      </c>
      <c r="E114" t="s">
        <v>1447</v>
      </c>
      <c r="F114" t="s">
        <v>1827</v>
      </c>
      <c r="G114" t="s">
        <v>1759</v>
      </c>
      <c r="H114" t="s">
        <v>2279</v>
      </c>
      <c r="I114" t="s">
        <v>2279</v>
      </c>
      <c r="J114" t="s">
        <v>2279</v>
      </c>
      <c r="K114" t="s">
        <v>2279</v>
      </c>
      <c r="L114" t="s">
        <v>1419</v>
      </c>
      <c r="M114" t="s">
        <v>2279</v>
      </c>
      <c r="N114" t="s">
        <v>2279</v>
      </c>
      <c r="O114" s="190" t="str">
        <f>"["&amp;$C114&amp;"]["&amp;$D114&amp;"]["&amp;$F114&amp;"]"</f>
        <v>[AdditionalNationalGuidance][0][AdditionalNationalGuidance]</v>
      </c>
    </row>
    <row r="115" spans="1:15" x14ac:dyDescent="0.3">
      <c r="A115" t="s">
        <v>2277</v>
      </c>
      <c r="B115" t="s">
        <v>1824</v>
      </c>
      <c r="C115" t="s">
        <v>1828</v>
      </c>
      <c r="D115">
        <v>0</v>
      </c>
      <c r="E115" t="s">
        <v>1447</v>
      </c>
      <c r="F115" t="s">
        <v>1828</v>
      </c>
      <c r="G115" t="s">
        <v>1741</v>
      </c>
      <c r="H115" t="s">
        <v>2309</v>
      </c>
      <c r="I115" t="s">
        <v>2279</v>
      </c>
      <c r="J115" t="s">
        <v>2279</v>
      </c>
      <c r="K115" t="s">
        <v>2279</v>
      </c>
      <c r="L115" t="s">
        <v>2279</v>
      </c>
      <c r="M115" t="s">
        <v>2279</v>
      </c>
      <c r="N115" t="s">
        <v>2279</v>
      </c>
      <c r="O115" s="190" t="str">
        <f>"["&amp;$C115&amp;"]["&amp;$D115&amp;"]["&amp;$F115&amp;"]"</f>
        <v>[AdditionalNationalGuidanceDetail][0][AdditionalNationalGuidanceDetail]</v>
      </c>
    </row>
    <row r="116" spans="1:15" x14ac:dyDescent="0.3">
      <c r="A116" t="s">
        <v>2277</v>
      </c>
      <c r="B116" t="s">
        <v>1829</v>
      </c>
      <c r="C116" t="s">
        <v>1830</v>
      </c>
      <c r="D116">
        <v>1</v>
      </c>
      <c r="E116" t="s">
        <v>1447</v>
      </c>
      <c r="F116" t="s">
        <v>1831</v>
      </c>
      <c r="G116" t="s">
        <v>1759</v>
      </c>
      <c r="H116" t="s">
        <v>2279</v>
      </c>
      <c r="I116" t="s">
        <v>2279</v>
      </c>
      <c r="J116" t="s">
        <v>2279</v>
      </c>
      <c r="K116" t="s">
        <v>2279</v>
      </c>
      <c r="L116" t="s">
        <v>1419</v>
      </c>
      <c r="M116" t="s">
        <v>2279</v>
      </c>
      <c r="N116" t="s">
        <v>2279</v>
      </c>
      <c r="O116" s="190" t="str">
        <f>"["&amp;$C116&amp;"]["&amp;$D116&amp;"]["&amp;$F116&amp;"]"</f>
        <v>[MeasuresStreamline][1][MeasuresStreamlineYesNo]</v>
      </c>
    </row>
    <row r="117" spans="1:15" x14ac:dyDescent="0.3">
      <c r="A117" t="s">
        <v>2277</v>
      </c>
      <c r="B117" t="s">
        <v>1829</v>
      </c>
      <c r="C117" t="s">
        <v>1830</v>
      </c>
      <c r="D117">
        <v>2</v>
      </c>
      <c r="E117" t="s">
        <v>1447</v>
      </c>
      <c r="F117" t="s">
        <v>1831</v>
      </c>
      <c r="G117" t="s">
        <v>1759</v>
      </c>
      <c r="H117" t="s">
        <v>2279</v>
      </c>
      <c r="I117" t="s">
        <v>2279</v>
      </c>
      <c r="J117" t="s">
        <v>2279</v>
      </c>
      <c r="K117" t="s">
        <v>2279</v>
      </c>
      <c r="L117" t="s">
        <v>1419</v>
      </c>
      <c r="M117" t="s">
        <v>2279</v>
      </c>
      <c r="N117" t="s">
        <v>2279</v>
      </c>
      <c r="O117" s="190" t="str">
        <f>"["&amp;$C117&amp;"]["&amp;$D117&amp;"]["&amp;$F117&amp;"]"</f>
        <v>[MeasuresStreamline][2][MeasuresStreamlineYesNo]</v>
      </c>
    </row>
    <row r="118" spans="1:15" x14ac:dyDescent="0.3">
      <c r="A118" t="s">
        <v>2277</v>
      </c>
      <c r="B118" t="s">
        <v>1829</v>
      </c>
      <c r="C118" t="s">
        <v>1830</v>
      </c>
      <c r="D118">
        <v>3</v>
      </c>
      <c r="E118" t="s">
        <v>1447</v>
      </c>
      <c r="F118" t="s">
        <v>1831</v>
      </c>
      <c r="G118" t="s">
        <v>1759</v>
      </c>
      <c r="H118" t="s">
        <v>2279</v>
      </c>
      <c r="I118" t="s">
        <v>2279</v>
      </c>
      <c r="J118" t="s">
        <v>2279</v>
      </c>
      <c r="K118" t="s">
        <v>2279</v>
      </c>
      <c r="L118" t="s">
        <v>1447</v>
      </c>
      <c r="M118" t="s">
        <v>2279</v>
      </c>
      <c r="N118" t="s">
        <v>2279</v>
      </c>
      <c r="O118" s="190" t="str">
        <f>"["&amp;$C118&amp;"]["&amp;$D118&amp;"]["&amp;$F118&amp;"]"</f>
        <v>[MeasuresStreamline][3][MeasuresStreamlineYesNo]</v>
      </c>
    </row>
    <row r="119" spans="1:15" x14ac:dyDescent="0.3">
      <c r="A119" t="s">
        <v>2277</v>
      </c>
      <c r="B119" t="s">
        <v>1829</v>
      </c>
      <c r="C119" t="s">
        <v>1830</v>
      </c>
      <c r="D119">
        <v>4</v>
      </c>
      <c r="E119" t="s">
        <v>1447</v>
      </c>
      <c r="F119" t="s">
        <v>1831</v>
      </c>
      <c r="G119" t="s">
        <v>1759</v>
      </c>
      <c r="H119" t="s">
        <v>2279</v>
      </c>
      <c r="I119" t="s">
        <v>2279</v>
      </c>
      <c r="J119" t="s">
        <v>2279</v>
      </c>
      <c r="K119" t="s">
        <v>2279</v>
      </c>
      <c r="L119" t="s">
        <v>1419</v>
      </c>
      <c r="M119" t="s">
        <v>2279</v>
      </c>
      <c r="N119" t="s">
        <v>2279</v>
      </c>
      <c r="O119" s="190" t="str">
        <f>"["&amp;$C119&amp;"]["&amp;$D119&amp;"]["&amp;$F119&amp;"]"</f>
        <v>[MeasuresStreamline][4][MeasuresStreamlineYesNo]</v>
      </c>
    </row>
    <row r="120" spans="1:15" x14ac:dyDescent="0.3">
      <c r="A120" t="s">
        <v>2277</v>
      </c>
      <c r="B120" t="s">
        <v>1829</v>
      </c>
      <c r="C120" t="s">
        <v>1830</v>
      </c>
      <c r="D120">
        <v>5</v>
      </c>
      <c r="E120" t="s">
        <v>1447</v>
      </c>
      <c r="F120" t="s">
        <v>1831</v>
      </c>
      <c r="G120" t="s">
        <v>1759</v>
      </c>
      <c r="H120" t="s">
        <v>2279</v>
      </c>
      <c r="I120" t="s">
        <v>2279</v>
      </c>
      <c r="J120" t="s">
        <v>2279</v>
      </c>
      <c r="K120" t="s">
        <v>2279</v>
      </c>
      <c r="L120" t="s">
        <v>1419</v>
      </c>
      <c r="M120" t="s">
        <v>2279</v>
      </c>
      <c r="N120" t="s">
        <v>2279</v>
      </c>
      <c r="O120" s="190" t="str">
        <f>"["&amp;$C120&amp;"]["&amp;$D120&amp;"]["&amp;$F120&amp;"]"</f>
        <v>[MeasuresStreamline][5][MeasuresStreamlineYesNo]</v>
      </c>
    </row>
    <row r="121" spans="1:15" x14ac:dyDescent="0.3">
      <c r="A121" t="s">
        <v>2277</v>
      </c>
      <c r="B121" t="s">
        <v>1829</v>
      </c>
      <c r="C121" t="s">
        <v>1830</v>
      </c>
      <c r="D121">
        <v>6</v>
      </c>
      <c r="E121" t="s">
        <v>1447</v>
      </c>
      <c r="F121" t="s">
        <v>1831</v>
      </c>
      <c r="G121" t="s">
        <v>1759</v>
      </c>
      <c r="H121" t="s">
        <v>2279</v>
      </c>
      <c r="I121" t="s">
        <v>2279</v>
      </c>
      <c r="J121" t="s">
        <v>2279</v>
      </c>
      <c r="K121" t="s">
        <v>2279</v>
      </c>
      <c r="L121" t="s">
        <v>1447</v>
      </c>
      <c r="M121" t="s">
        <v>2279</v>
      </c>
      <c r="N121" t="s">
        <v>2279</v>
      </c>
      <c r="O121" s="190" t="str">
        <f>"["&amp;$C121&amp;"]["&amp;$D121&amp;"]["&amp;$F121&amp;"]"</f>
        <v>[MeasuresStreamline][6][MeasuresStreamlineYesNo]</v>
      </c>
    </row>
    <row r="122" spans="1:15" x14ac:dyDescent="0.3">
      <c r="A122" t="s">
        <v>2277</v>
      </c>
      <c r="B122" t="s">
        <v>1829</v>
      </c>
      <c r="C122" t="s">
        <v>1830</v>
      </c>
      <c r="D122">
        <v>7</v>
      </c>
      <c r="E122" t="s">
        <v>1447</v>
      </c>
      <c r="F122" t="s">
        <v>1831</v>
      </c>
      <c r="G122" t="s">
        <v>1759</v>
      </c>
      <c r="H122" t="s">
        <v>2279</v>
      </c>
      <c r="I122" t="s">
        <v>2279</v>
      </c>
      <c r="J122" t="s">
        <v>2279</v>
      </c>
      <c r="K122" t="s">
        <v>2279</v>
      </c>
      <c r="L122" t="s">
        <v>1447</v>
      </c>
      <c r="M122" t="s">
        <v>2279</v>
      </c>
      <c r="N122" t="s">
        <v>2279</v>
      </c>
      <c r="O122" s="190" t="str">
        <f>"["&amp;$C122&amp;"]["&amp;$D122&amp;"]["&amp;$F122&amp;"]"</f>
        <v>[MeasuresStreamline][7][MeasuresStreamlineYesNo]</v>
      </c>
    </row>
    <row r="123" spans="1:15" x14ac:dyDescent="0.3">
      <c r="A123" t="s">
        <v>2277</v>
      </c>
      <c r="B123" t="s">
        <v>1829</v>
      </c>
      <c r="C123" t="s">
        <v>1830</v>
      </c>
      <c r="D123">
        <v>1</v>
      </c>
      <c r="E123" t="s">
        <v>1447</v>
      </c>
      <c r="F123" t="s">
        <v>1832</v>
      </c>
      <c r="G123" t="s">
        <v>1791</v>
      </c>
      <c r="H123" t="s">
        <v>2279</v>
      </c>
      <c r="I123" t="s">
        <v>2279</v>
      </c>
      <c r="J123" t="s">
        <v>2279</v>
      </c>
      <c r="K123" t="s">
        <v>2310</v>
      </c>
      <c r="L123" t="s">
        <v>2279</v>
      </c>
      <c r="M123" t="s">
        <v>2279</v>
      </c>
      <c r="N123" t="s">
        <v>2279</v>
      </c>
      <c r="O123" s="190" t="str">
        <f>"["&amp;$C123&amp;"]["&amp;$D123&amp;"]["&amp;$F123&amp;"]"</f>
        <v>[MeasuresStreamline][1][MeasuresStreamlineComments]</v>
      </c>
    </row>
    <row r="124" spans="1:15" x14ac:dyDescent="0.3">
      <c r="A124" t="s">
        <v>2277</v>
      </c>
      <c r="B124" t="s">
        <v>1829</v>
      </c>
      <c r="C124" t="s">
        <v>1830</v>
      </c>
      <c r="D124">
        <v>2</v>
      </c>
      <c r="E124" t="s">
        <v>1447</v>
      </c>
      <c r="F124" t="s">
        <v>1832</v>
      </c>
      <c r="G124" t="s">
        <v>1791</v>
      </c>
      <c r="H124" t="s">
        <v>2279</v>
      </c>
      <c r="I124" t="s">
        <v>2279</v>
      </c>
      <c r="J124" t="s">
        <v>2279</v>
      </c>
      <c r="K124" t="s">
        <v>2311</v>
      </c>
      <c r="L124" t="s">
        <v>2279</v>
      </c>
      <c r="M124" t="s">
        <v>2279</v>
      </c>
      <c r="N124" t="s">
        <v>2279</v>
      </c>
      <c r="O124" s="190" t="str">
        <f>"["&amp;$C124&amp;"]["&amp;$D124&amp;"]["&amp;$F124&amp;"]"</f>
        <v>[MeasuresStreamline][2][MeasuresStreamlineComments]</v>
      </c>
    </row>
    <row r="125" spans="1:15" x14ac:dyDescent="0.3">
      <c r="A125" t="s">
        <v>2277</v>
      </c>
      <c r="B125" t="s">
        <v>1829</v>
      </c>
      <c r="C125" t="s">
        <v>1830</v>
      </c>
      <c r="D125">
        <v>3</v>
      </c>
      <c r="E125" t="s">
        <v>1447</v>
      </c>
      <c r="F125" t="s">
        <v>1832</v>
      </c>
      <c r="G125" t="s">
        <v>1791</v>
      </c>
      <c r="H125" t="s">
        <v>2279</v>
      </c>
      <c r="I125" t="s">
        <v>2279</v>
      </c>
      <c r="J125" t="s">
        <v>2279</v>
      </c>
      <c r="K125" t="s">
        <v>2312</v>
      </c>
      <c r="L125" t="s">
        <v>2279</v>
      </c>
      <c r="M125" t="s">
        <v>2279</v>
      </c>
      <c r="N125" t="s">
        <v>2279</v>
      </c>
      <c r="O125" s="190" t="str">
        <f>"["&amp;$C125&amp;"]["&amp;$D125&amp;"]["&amp;$F125&amp;"]"</f>
        <v>[MeasuresStreamline][3][MeasuresStreamlineComments]</v>
      </c>
    </row>
    <row r="126" spans="1:15" x14ac:dyDescent="0.3">
      <c r="A126" t="s">
        <v>2277</v>
      </c>
      <c r="B126" t="s">
        <v>1833</v>
      </c>
      <c r="C126" t="s">
        <v>1834</v>
      </c>
      <c r="D126">
        <v>0</v>
      </c>
      <c r="E126" t="s">
        <v>1447</v>
      </c>
      <c r="F126" t="s">
        <v>1834</v>
      </c>
      <c r="G126" t="s">
        <v>1759</v>
      </c>
      <c r="H126" t="s">
        <v>2279</v>
      </c>
      <c r="I126" t="s">
        <v>2279</v>
      </c>
      <c r="J126" t="s">
        <v>2279</v>
      </c>
      <c r="K126" t="s">
        <v>2279</v>
      </c>
      <c r="L126" t="s">
        <v>1419</v>
      </c>
      <c r="M126" t="s">
        <v>2279</v>
      </c>
      <c r="N126" t="s">
        <v>2279</v>
      </c>
      <c r="O126" s="190" t="str">
        <f>"["&amp;$C126&amp;"]["&amp;$D126&amp;"]["&amp;$F126&amp;"]"</f>
        <v>[CommissionTemplatesMRR][0][CommissionTemplatesMRR]</v>
      </c>
    </row>
    <row r="127" spans="1:15" x14ac:dyDescent="0.3">
      <c r="A127" t="s">
        <v>2277</v>
      </c>
      <c r="B127" t="s">
        <v>1833</v>
      </c>
      <c r="C127" t="s">
        <v>1835</v>
      </c>
      <c r="D127">
        <v>1</v>
      </c>
      <c r="E127" t="s">
        <v>1447</v>
      </c>
      <c r="F127" t="s">
        <v>1836</v>
      </c>
      <c r="G127" t="s">
        <v>1737</v>
      </c>
      <c r="H127" t="s">
        <v>2279</v>
      </c>
      <c r="I127" t="s">
        <v>2279</v>
      </c>
      <c r="J127" t="s">
        <v>2279</v>
      </c>
      <c r="K127" t="s">
        <v>2279</v>
      </c>
      <c r="L127" t="s">
        <v>1424</v>
      </c>
      <c r="M127" t="s">
        <v>2279</v>
      </c>
      <c r="N127" t="s">
        <v>2279</v>
      </c>
      <c r="O127" s="190" t="str">
        <f>"["&amp;$C127&amp;"]["&amp;$D127&amp;"]["&amp;$F127&amp;"]"</f>
        <v>[S05_MSCustomisedTemplatesMRR1][1][SpecificTemplateOrFileFormat]</v>
      </c>
    </row>
    <row r="128" spans="1:15" x14ac:dyDescent="0.3">
      <c r="A128" t="s">
        <v>2277</v>
      </c>
      <c r="B128" t="s">
        <v>1833</v>
      </c>
      <c r="C128" t="s">
        <v>1835</v>
      </c>
      <c r="D128">
        <v>2</v>
      </c>
      <c r="E128" t="s">
        <v>1447</v>
      </c>
      <c r="F128" t="s">
        <v>1836</v>
      </c>
      <c r="G128" t="s">
        <v>1737</v>
      </c>
      <c r="H128" t="s">
        <v>2279</v>
      </c>
      <c r="I128" t="s">
        <v>2279</v>
      </c>
      <c r="J128" t="s">
        <v>2279</v>
      </c>
      <c r="K128" t="s">
        <v>2279</v>
      </c>
      <c r="L128" t="s">
        <v>1424</v>
      </c>
      <c r="M128" t="s">
        <v>2279</v>
      </c>
      <c r="N128" t="s">
        <v>2279</v>
      </c>
      <c r="O128" s="190" t="str">
        <f>"["&amp;$C128&amp;"]["&amp;$D128&amp;"]["&amp;$F128&amp;"]"</f>
        <v>[S05_MSCustomisedTemplatesMRR1][2][SpecificTemplateOrFileFormat]</v>
      </c>
    </row>
    <row r="129" spans="1:15" x14ac:dyDescent="0.3">
      <c r="A129" t="s">
        <v>2277</v>
      </c>
      <c r="B129" t="s">
        <v>1833</v>
      </c>
      <c r="C129" t="s">
        <v>1835</v>
      </c>
      <c r="D129">
        <v>3</v>
      </c>
      <c r="E129" t="s">
        <v>1447</v>
      </c>
      <c r="F129" t="s">
        <v>1836</v>
      </c>
      <c r="G129" t="s">
        <v>1737</v>
      </c>
      <c r="H129" t="s">
        <v>2279</v>
      </c>
      <c r="I129" t="s">
        <v>2279</v>
      </c>
      <c r="J129" t="s">
        <v>2279</v>
      </c>
      <c r="K129" t="s">
        <v>2279</v>
      </c>
      <c r="L129" t="s">
        <v>1424</v>
      </c>
      <c r="M129" t="s">
        <v>2279</v>
      </c>
      <c r="N129" t="s">
        <v>2279</v>
      </c>
      <c r="O129" s="190" t="str">
        <f>"["&amp;$C129&amp;"]["&amp;$D129&amp;"]["&amp;$F129&amp;"]"</f>
        <v>[S05_MSCustomisedTemplatesMRR1][3][SpecificTemplateOrFileFormat]</v>
      </c>
    </row>
    <row r="130" spans="1:15" x14ac:dyDescent="0.3">
      <c r="A130" t="s">
        <v>2277</v>
      </c>
      <c r="B130" t="s">
        <v>1833</v>
      </c>
      <c r="C130" t="s">
        <v>1835</v>
      </c>
      <c r="D130">
        <v>4</v>
      </c>
      <c r="E130" t="s">
        <v>1447</v>
      </c>
      <c r="F130" t="s">
        <v>1836</v>
      </c>
      <c r="G130" t="s">
        <v>1737</v>
      </c>
      <c r="H130" t="s">
        <v>2279</v>
      </c>
      <c r="I130" t="s">
        <v>2279</v>
      </c>
      <c r="J130" t="s">
        <v>2279</v>
      </c>
      <c r="K130" t="s">
        <v>2279</v>
      </c>
      <c r="L130" t="s">
        <v>1452</v>
      </c>
      <c r="M130" t="s">
        <v>2279</v>
      </c>
      <c r="N130" t="s">
        <v>2279</v>
      </c>
      <c r="O130" s="190" t="str">
        <f>"["&amp;$C130&amp;"]["&amp;$D130&amp;"]["&amp;$F130&amp;"]"</f>
        <v>[S05_MSCustomisedTemplatesMRR1][4][SpecificTemplateOrFileFormat]</v>
      </c>
    </row>
    <row r="131" spans="1:15" x14ac:dyDescent="0.3">
      <c r="A131" t="s">
        <v>2277</v>
      </c>
      <c r="B131" t="s">
        <v>1833</v>
      </c>
      <c r="C131" t="s">
        <v>1835</v>
      </c>
      <c r="D131">
        <v>1</v>
      </c>
      <c r="E131" t="s">
        <v>1447</v>
      </c>
      <c r="F131" t="s">
        <v>1837</v>
      </c>
      <c r="G131" t="s">
        <v>1741</v>
      </c>
      <c r="H131" t="s">
        <v>2313</v>
      </c>
      <c r="I131" t="s">
        <v>2279</v>
      </c>
      <c r="J131" t="s">
        <v>2279</v>
      </c>
      <c r="K131" t="s">
        <v>2279</v>
      </c>
      <c r="L131" t="s">
        <v>2279</v>
      </c>
      <c r="M131" t="s">
        <v>2279</v>
      </c>
      <c r="N131" t="s">
        <v>2279</v>
      </c>
      <c r="O131" s="190" t="str">
        <f>"["&amp;$C131&amp;"]["&amp;$D131&amp;"]["&amp;$F131&amp;"]"</f>
        <v>[S05_MSCustomisedTemplatesMRR1][1][HowTemplateSpecific]</v>
      </c>
    </row>
    <row r="132" spans="1:15" x14ac:dyDescent="0.3">
      <c r="A132" t="s">
        <v>2277</v>
      </c>
      <c r="B132" t="s">
        <v>1833</v>
      </c>
      <c r="C132" t="s">
        <v>1835</v>
      </c>
      <c r="D132">
        <v>2</v>
      </c>
      <c r="E132" t="s">
        <v>1447</v>
      </c>
      <c r="F132" t="s">
        <v>1837</v>
      </c>
      <c r="G132" t="s">
        <v>1741</v>
      </c>
      <c r="H132" t="s">
        <v>2314</v>
      </c>
      <c r="I132" t="s">
        <v>2279</v>
      </c>
      <c r="J132" t="s">
        <v>2279</v>
      </c>
      <c r="K132" t="s">
        <v>2279</v>
      </c>
      <c r="L132" t="s">
        <v>2279</v>
      </c>
      <c r="M132" t="s">
        <v>2279</v>
      </c>
      <c r="N132" t="s">
        <v>2279</v>
      </c>
      <c r="O132" s="190" t="str">
        <f>"["&amp;$C132&amp;"]["&amp;$D132&amp;"]["&amp;$F132&amp;"]"</f>
        <v>[S05_MSCustomisedTemplatesMRR1][2][HowTemplateSpecific]</v>
      </c>
    </row>
    <row r="133" spans="1:15" x14ac:dyDescent="0.3">
      <c r="A133" t="s">
        <v>2277</v>
      </c>
      <c r="B133" t="s">
        <v>1833</v>
      </c>
      <c r="C133" t="s">
        <v>1835</v>
      </c>
      <c r="D133">
        <v>3</v>
      </c>
      <c r="E133" t="s">
        <v>1447</v>
      </c>
      <c r="F133" t="s">
        <v>1837</v>
      </c>
      <c r="G133" t="s">
        <v>1741</v>
      </c>
      <c r="H133" t="s">
        <v>2315</v>
      </c>
      <c r="I133" t="s">
        <v>2279</v>
      </c>
      <c r="J133" t="s">
        <v>2279</v>
      </c>
      <c r="K133" t="s">
        <v>2279</v>
      </c>
      <c r="L133" t="s">
        <v>2279</v>
      </c>
      <c r="M133" t="s">
        <v>2279</v>
      </c>
      <c r="N133" t="s">
        <v>2279</v>
      </c>
      <c r="O133" s="190" t="str">
        <f>"["&amp;$C133&amp;"]["&amp;$D133&amp;"]["&amp;$F133&amp;"]"</f>
        <v>[S05_MSCustomisedTemplatesMRR1][3][HowTemplateSpecific]</v>
      </c>
    </row>
    <row r="134" spans="1:15" x14ac:dyDescent="0.3">
      <c r="A134" t="s">
        <v>2277</v>
      </c>
      <c r="B134" t="s">
        <v>1833</v>
      </c>
      <c r="C134" t="s">
        <v>1835</v>
      </c>
      <c r="D134">
        <v>4</v>
      </c>
      <c r="E134" t="s">
        <v>1447</v>
      </c>
      <c r="F134" t="s">
        <v>1837</v>
      </c>
      <c r="G134" t="s">
        <v>1741</v>
      </c>
      <c r="H134" t="s">
        <v>2316</v>
      </c>
      <c r="I134" t="s">
        <v>2279</v>
      </c>
      <c r="J134" t="s">
        <v>2279</v>
      </c>
      <c r="K134" t="s">
        <v>2279</v>
      </c>
      <c r="L134" t="s">
        <v>2279</v>
      </c>
      <c r="M134" t="s">
        <v>2279</v>
      </c>
      <c r="N134" t="s">
        <v>2279</v>
      </c>
      <c r="O134" s="190" t="str">
        <f>"["&amp;$C134&amp;"]["&amp;$D134&amp;"]["&amp;$F134&amp;"]"</f>
        <v>[S05_MSCustomisedTemplatesMRR1][4][HowTemplateSpecific]</v>
      </c>
    </row>
    <row r="135" spans="1:15" x14ac:dyDescent="0.3">
      <c r="A135" t="s">
        <v>2277</v>
      </c>
      <c r="B135" t="s">
        <v>1833</v>
      </c>
      <c r="C135" t="s">
        <v>1838</v>
      </c>
      <c r="D135">
        <v>1</v>
      </c>
      <c r="E135" t="s">
        <v>1447</v>
      </c>
      <c r="F135" t="s">
        <v>1837</v>
      </c>
      <c r="G135" t="s">
        <v>1741</v>
      </c>
      <c r="H135" t="s">
        <v>2317</v>
      </c>
      <c r="I135" t="s">
        <v>2279</v>
      </c>
      <c r="J135" t="s">
        <v>2279</v>
      </c>
      <c r="K135" t="s">
        <v>2279</v>
      </c>
      <c r="L135" t="s">
        <v>2279</v>
      </c>
      <c r="M135" t="s">
        <v>2279</v>
      </c>
      <c r="N135" t="s">
        <v>2279</v>
      </c>
      <c r="O135" s="190" t="str">
        <f>"["&amp;$C135&amp;"]["&amp;$D135&amp;"]["&amp;$F135&amp;"]"</f>
        <v>[S05_MSCustomisedTemplatesMRR2][1][HowTemplateSpecific]</v>
      </c>
    </row>
    <row r="136" spans="1:15" x14ac:dyDescent="0.3">
      <c r="A136" t="s">
        <v>2277</v>
      </c>
      <c r="B136" t="s">
        <v>1833</v>
      </c>
      <c r="C136" t="s">
        <v>1838</v>
      </c>
      <c r="D136">
        <v>2</v>
      </c>
      <c r="E136" t="s">
        <v>1447</v>
      </c>
      <c r="F136" t="s">
        <v>1837</v>
      </c>
      <c r="G136" t="s">
        <v>1741</v>
      </c>
      <c r="H136" t="s">
        <v>2317</v>
      </c>
      <c r="I136" t="s">
        <v>2279</v>
      </c>
      <c r="J136" t="s">
        <v>2279</v>
      </c>
      <c r="K136" t="s">
        <v>2279</v>
      </c>
      <c r="L136" t="s">
        <v>2279</v>
      </c>
      <c r="M136" t="s">
        <v>2279</v>
      </c>
      <c r="N136" t="s">
        <v>2279</v>
      </c>
      <c r="O136" s="190" t="str">
        <f>"["&amp;$C136&amp;"]["&amp;$D136&amp;"]["&amp;$F136&amp;"]"</f>
        <v>[S05_MSCustomisedTemplatesMRR2][2][HowTemplateSpecific]</v>
      </c>
    </row>
    <row r="137" spans="1:15" x14ac:dyDescent="0.3">
      <c r="A137" t="s">
        <v>2277</v>
      </c>
      <c r="B137" t="s">
        <v>1833</v>
      </c>
      <c r="C137" t="s">
        <v>1838</v>
      </c>
      <c r="D137">
        <v>3</v>
      </c>
      <c r="E137" t="s">
        <v>1447</v>
      </c>
      <c r="F137" t="s">
        <v>1837</v>
      </c>
      <c r="G137" t="s">
        <v>1741</v>
      </c>
      <c r="H137" t="s">
        <v>2317</v>
      </c>
      <c r="I137" t="s">
        <v>2279</v>
      </c>
      <c r="J137" t="s">
        <v>2279</v>
      </c>
      <c r="K137" t="s">
        <v>2279</v>
      </c>
      <c r="L137" t="s">
        <v>2279</v>
      </c>
      <c r="M137" t="s">
        <v>2279</v>
      </c>
      <c r="N137" t="s">
        <v>2279</v>
      </c>
      <c r="O137" s="190" t="str">
        <f>"["&amp;$C137&amp;"]["&amp;$D137&amp;"]["&amp;$F137&amp;"]"</f>
        <v>[S05_MSCustomisedTemplatesMRR2][3][HowTemplateSpecific]</v>
      </c>
    </row>
    <row r="138" spans="1:15" x14ac:dyDescent="0.3">
      <c r="A138" t="s">
        <v>2277</v>
      </c>
      <c r="B138" t="s">
        <v>1833</v>
      </c>
      <c r="C138" t="s">
        <v>1838</v>
      </c>
      <c r="D138">
        <v>4</v>
      </c>
      <c r="E138" t="s">
        <v>1447</v>
      </c>
      <c r="F138" t="s">
        <v>1837</v>
      </c>
      <c r="G138" t="s">
        <v>1741</v>
      </c>
      <c r="H138" t="s">
        <v>2317</v>
      </c>
      <c r="I138" t="s">
        <v>2279</v>
      </c>
      <c r="J138" t="s">
        <v>2279</v>
      </c>
      <c r="K138" t="s">
        <v>2279</v>
      </c>
      <c r="L138" t="s">
        <v>2279</v>
      </c>
      <c r="M138" t="s">
        <v>2279</v>
      </c>
      <c r="N138" t="s">
        <v>2279</v>
      </c>
      <c r="O138" s="190" t="str">
        <f>"["&amp;$C138&amp;"]["&amp;$D138&amp;"]["&amp;$F138&amp;"]"</f>
        <v>[S05_MSCustomisedTemplatesMRR2][4][HowTemplateSpecific]</v>
      </c>
    </row>
    <row r="139" spans="1:15" x14ac:dyDescent="0.3">
      <c r="A139" t="s">
        <v>2277</v>
      </c>
      <c r="B139" t="s">
        <v>1833</v>
      </c>
      <c r="C139" t="s">
        <v>1839</v>
      </c>
      <c r="D139">
        <v>0</v>
      </c>
      <c r="E139" t="s">
        <v>1447</v>
      </c>
      <c r="F139" t="s">
        <v>1839</v>
      </c>
      <c r="G139" t="s">
        <v>1741</v>
      </c>
      <c r="H139" t="s">
        <v>2318</v>
      </c>
      <c r="I139" t="s">
        <v>2279</v>
      </c>
      <c r="J139" t="s">
        <v>2279</v>
      </c>
      <c r="K139" t="s">
        <v>2279</v>
      </c>
      <c r="L139" t="s">
        <v>2279</v>
      </c>
      <c r="M139" t="s">
        <v>2279</v>
      </c>
      <c r="N139" t="s">
        <v>2279</v>
      </c>
      <c r="O139" s="190" t="str">
        <f>"["&amp;$C139&amp;"]["&amp;$D139&amp;"]["&amp;$F139&amp;"]"</f>
        <v>[ComplyMeasuresArt74][0][ComplyMeasuresArt74]</v>
      </c>
    </row>
    <row r="140" spans="1:15" x14ac:dyDescent="0.3">
      <c r="A140" t="s">
        <v>2277</v>
      </c>
      <c r="B140" t="s">
        <v>1840</v>
      </c>
      <c r="C140" t="s">
        <v>1841</v>
      </c>
      <c r="D140">
        <v>0</v>
      </c>
      <c r="E140" t="s">
        <v>1447</v>
      </c>
      <c r="F140" t="s">
        <v>1841</v>
      </c>
      <c r="G140" t="s">
        <v>1759</v>
      </c>
      <c r="H140" t="s">
        <v>2279</v>
      </c>
      <c r="I140" t="s">
        <v>2279</v>
      </c>
      <c r="J140" t="s">
        <v>2279</v>
      </c>
      <c r="K140" t="s">
        <v>2279</v>
      </c>
      <c r="L140" t="s">
        <v>1419</v>
      </c>
      <c r="M140" t="s">
        <v>2279</v>
      </c>
      <c r="N140" t="s">
        <v>2279</v>
      </c>
      <c r="O140" s="190" t="str">
        <f>"["&amp;$C140&amp;"]["&amp;$D140&amp;"]["&amp;$F140&amp;"]"</f>
        <v>[AutomatedSystemInformationExchange][0][AutomatedSystemInformationExchange]</v>
      </c>
    </row>
    <row r="141" spans="1:15" x14ac:dyDescent="0.3">
      <c r="A141" t="s">
        <v>2277</v>
      </c>
      <c r="B141" t="s">
        <v>1840</v>
      </c>
      <c r="C141" t="s">
        <v>1842</v>
      </c>
      <c r="D141">
        <v>0</v>
      </c>
      <c r="E141" t="s">
        <v>1447</v>
      </c>
      <c r="F141" t="s">
        <v>1842</v>
      </c>
      <c r="G141" t="s">
        <v>1741</v>
      </c>
      <c r="H141" t="s">
        <v>2319</v>
      </c>
      <c r="I141" t="s">
        <v>2279</v>
      </c>
      <c r="J141" t="s">
        <v>2279</v>
      </c>
      <c r="K141" t="s">
        <v>2279</v>
      </c>
      <c r="L141" t="s">
        <v>2279</v>
      </c>
      <c r="M141" t="s">
        <v>2279</v>
      </c>
      <c r="N141" t="s">
        <v>2279</v>
      </c>
      <c r="O141" s="190" t="str">
        <f>"["&amp;$C141&amp;"]["&amp;$D141&amp;"]["&amp;$F141&amp;"]"</f>
        <v>[ComplyRequirementsArt75][0][ComplyRequirementsArt75]</v>
      </c>
    </row>
    <row r="142" spans="1:15" x14ac:dyDescent="0.3">
      <c r="A142" t="s">
        <v>2277</v>
      </c>
      <c r="B142" t="s">
        <v>1843</v>
      </c>
      <c r="C142" t="s">
        <v>1844</v>
      </c>
      <c r="D142">
        <v>1</v>
      </c>
      <c r="E142" t="s">
        <v>1447</v>
      </c>
      <c r="F142" t="s">
        <v>1845</v>
      </c>
      <c r="G142" t="s">
        <v>1806</v>
      </c>
      <c r="H142" t="s">
        <v>2279</v>
      </c>
      <c r="I142" t="s">
        <v>2279</v>
      </c>
      <c r="J142">
        <v>44115.06</v>
      </c>
      <c r="K142" t="s">
        <v>2279</v>
      </c>
      <c r="L142" t="s">
        <v>2279</v>
      </c>
      <c r="M142" t="s">
        <v>2279</v>
      </c>
      <c r="N142" t="s">
        <v>2279</v>
      </c>
      <c r="O142" s="190" t="str">
        <f>"["&amp;$C142&amp;"]["&amp;$D142&amp;"]["&amp;$F142&amp;"]"</f>
        <v>[S05_InstallationFuelConsEmissions][1][FuelConsumption]</v>
      </c>
    </row>
    <row r="143" spans="1:15" x14ac:dyDescent="0.3">
      <c r="A143" t="s">
        <v>2277</v>
      </c>
      <c r="B143" t="s">
        <v>1843</v>
      </c>
      <c r="C143" t="s">
        <v>1844</v>
      </c>
      <c r="D143">
        <v>4</v>
      </c>
      <c r="E143" t="s">
        <v>1447</v>
      </c>
      <c r="F143" t="s">
        <v>1845</v>
      </c>
      <c r="G143" t="s">
        <v>1806</v>
      </c>
      <c r="H143" t="s">
        <v>2279</v>
      </c>
      <c r="I143" t="s">
        <v>2279</v>
      </c>
      <c r="J143">
        <v>322.76</v>
      </c>
      <c r="K143" t="s">
        <v>2279</v>
      </c>
      <c r="L143" t="s">
        <v>2279</v>
      </c>
      <c r="M143" t="s">
        <v>2279</v>
      </c>
      <c r="N143" t="s">
        <v>2279</v>
      </c>
      <c r="O143" s="190" t="str">
        <f>"["&amp;$C143&amp;"]["&amp;$D143&amp;"]["&amp;$F143&amp;"]"</f>
        <v>[S05_InstallationFuelConsEmissions][4][FuelConsumption]</v>
      </c>
    </row>
    <row r="144" spans="1:15" x14ac:dyDescent="0.3">
      <c r="A144" t="s">
        <v>2277</v>
      </c>
      <c r="B144" t="s">
        <v>1843</v>
      </c>
      <c r="C144" t="s">
        <v>1844</v>
      </c>
      <c r="D144">
        <v>5</v>
      </c>
      <c r="E144" t="s">
        <v>1447</v>
      </c>
      <c r="F144" t="s">
        <v>1845</v>
      </c>
      <c r="G144" t="s">
        <v>1806</v>
      </c>
      <c r="H144" t="s">
        <v>2279</v>
      </c>
      <c r="I144" t="s">
        <v>2279</v>
      </c>
      <c r="J144">
        <v>45457</v>
      </c>
      <c r="K144" t="s">
        <v>2279</v>
      </c>
      <c r="L144" t="s">
        <v>2279</v>
      </c>
      <c r="M144" t="s">
        <v>2279</v>
      </c>
      <c r="N144" t="s">
        <v>2279</v>
      </c>
      <c r="O144" s="190" t="str">
        <f>"["&amp;$C144&amp;"]["&amp;$D144&amp;"]["&amp;$F144&amp;"]"</f>
        <v>[S05_InstallationFuelConsEmissions][5][FuelConsumption]</v>
      </c>
    </row>
    <row r="145" spans="1:15" x14ac:dyDescent="0.3">
      <c r="A145" t="s">
        <v>2277</v>
      </c>
      <c r="B145" t="s">
        <v>1843</v>
      </c>
      <c r="C145" t="s">
        <v>1844</v>
      </c>
      <c r="D145">
        <v>8</v>
      </c>
      <c r="E145" t="s">
        <v>1447</v>
      </c>
      <c r="F145" t="s">
        <v>1845</v>
      </c>
      <c r="G145" t="s">
        <v>1806</v>
      </c>
      <c r="H145" t="s">
        <v>2279</v>
      </c>
      <c r="I145" t="s">
        <v>2279</v>
      </c>
      <c r="J145">
        <v>15539</v>
      </c>
      <c r="K145" t="s">
        <v>2279</v>
      </c>
      <c r="L145" t="s">
        <v>2279</v>
      </c>
      <c r="M145" t="s">
        <v>2279</v>
      </c>
      <c r="N145" t="s">
        <v>2279</v>
      </c>
      <c r="O145" s="190" t="str">
        <f>"["&amp;$C145&amp;"]["&amp;$D145&amp;"]["&amp;$F145&amp;"]"</f>
        <v>[S05_InstallationFuelConsEmissions][8][FuelConsumption]</v>
      </c>
    </row>
    <row r="146" spans="1:15" x14ac:dyDescent="0.3">
      <c r="A146" t="s">
        <v>2277</v>
      </c>
      <c r="B146" t="s">
        <v>1843</v>
      </c>
      <c r="C146" t="s">
        <v>1844</v>
      </c>
      <c r="D146">
        <v>9</v>
      </c>
      <c r="E146" t="s">
        <v>1447</v>
      </c>
      <c r="F146" t="s">
        <v>1845</v>
      </c>
      <c r="G146" t="s">
        <v>1806</v>
      </c>
      <c r="H146" t="s">
        <v>2279</v>
      </c>
      <c r="I146" t="s">
        <v>2279</v>
      </c>
      <c r="J146">
        <v>4909.79</v>
      </c>
      <c r="K146" t="s">
        <v>2279</v>
      </c>
      <c r="L146" t="s">
        <v>2279</v>
      </c>
      <c r="M146" t="s">
        <v>2279</v>
      </c>
      <c r="N146" t="s">
        <v>2279</v>
      </c>
      <c r="O146" s="190" t="str">
        <f>"["&amp;$C146&amp;"]["&amp;$D146&amp;"]["&amp;$F146&amp;"]"</f>
        <v>[S05_InstallationFuelConsEmissions][9][FuelConsumption]</v>
      </c>
    </row>
    <row r="147" spans="1:15" x14ac:dyDescent="0.3">
      <c r="A147" t="s">
        <v>2277</v>
      </c>
      <c r="B147" t="s">
        <v>1843</v>
      </c>
      <c r="C147" t="s">
        <v>1844</v>
      </c>
      <c r="D147">
        <v>10</v>
      </c>
      <c r="E147" t="s">
        <v>1447</v>
      </c>
      <c r="F147" t="s">
        <v>1845</v>
      </c>
      <c r="G147" t="s">
        <v>1806</v>
      </c>
      <c r="H147" t="s">
        <v>2279</v>
      </c>
      <c r="I147" t="s">
        <v>2279</v>
      </c>
      <c r="J147">
        <v>220.24</v>
      </c>
      <c r="K147" t="s">
        <v>2279</v>
      </c>
      <c r="L147" t="s">
        <v>2279</v>
      </c>
      <c r="M147" t="s">
        <v>2279</v>
      </c>
      <c r="N147" t="s">
        <v>2279</v>
      </c>
      <c r="O147" s="190" t="str">
        <f>"["&amp;$C147&amp;"]["&amp;$D147&amp;"]["&amp;$F147&amp;"]"</f>
        <v>[S05_InstallationFuelConsEmissions][10][FuelConsumption]</v>
      </c>
    </row>
    <row r="148" spans="1:15" x14ac:dyDescent="0.3">
      <c r="A148" t="s">
        <v>2277</v>
      </c>
      <c r="B148" t="s">
        <v>1846</v>
      </c>
      <c r="C148" t="s">
        <v>1844</v>
      </c>
      <c r="D148">
        <v>11</v>
      </c>
      <c r="E148" t="s">
        <v>1447</v>
      </c>
      <c r="F148" t="s">
        <v>1845</v>
      </c>
      <c r="G148" t="s">
        <v>1806</v>
      </c>
      <c r="H148" t="s">
        <v>2279</v>
      </c>
      <c r="I148" t="s">
        <v>2279</v>
      </c>
      <c r="J148">
        <v>6543.96</v>
      </c>
      <c r="K148" t="s">
        <v>2279</v>
      </c>
      <c r="L148" t="s">
        <v>2279</v>
      </c>
      <c r="M148" t="s">
        <v>2279</v>
      </c>
      <c r="N148" t="s">
        <v>2279</v>
      </c>
      <c r="O148" s="190" t="str">
        <f>"["&amp;$C148&amp;"]["&amp;$D148&amp;"]["&amp;$F148&amp;"]"</f>
        <v>[S05_InstallationFuelConsEmissions][11][FuelConsumption]</v>
      </c>
    </row>
    <row r="149" spans="1:15" x14ac:dyDescent="0.3">
      <c r="A149" t="s">
        <v>2277</v>
      </c>
      <c r="B149" t="s">
        <v>1847</v>
      </c>
      <c r="C149" t="s">
        <v>1844</v>
      </c>
      <c r="D149">
        <v>12</v>
      </c>
      <c r="E149" t="s">
        <v>1447</v>
      </c>
      <c r="F149" t="s">
        <v>1845</v>
      </c>
      <c r="G149" t="s">
        <v>1806</v>
      </c>
      <c r="H149" t="s">
        <v>2279</v>
      </c>
      <c r="I149" t="s">
        <v>2279</v>
      </c>
      <c r="J149">
        <v>16235</v>
      </c>
      <c r="K149" t="s">
        <v>2279</v>
      </c>
      <c r="L149" t="s">
        <v>2279</v>
      </c>
      <c r="M149" t="s">
        <v>2279</v>
      </c>
      <c r="N149" t="s">
        <v>2279</v>
      </c>
      <c r="O149" s="190" t="str">
        <f>"["&amp;$C149&amp;"]["&amp;$D149&amp;"]["&amp;$F149&amp;"]"</f>
        <v>[S05_InstallationFuelConsEmissions][12][FuelConsumption]</v>
      </c>
    </row>
    <row r="150" spans="1:15" x14ac:dyDescent="0.3">
      <c r="A150" t="s">
        <v>2277</v>
      </c>
      <c r="B150" t="s">
        <v>1843</v>
      </c>
      <c r="C150" t="s">
        <v>1844</v>
      </c>
      <c r="D150">
        <v>1</v>
      </c>
      <c r="E150" t="s">
        <v>1447</v>
      </c>
      <c r="F150" t="s">
        <v>1848</v>
      </c>
      <c r="G150" t="s">
        <v>1806</v>
      </c>
      <c r="H150" t="s">
        <v>2279</v>
      </c>
      <c r="I150" t="s">
        <v>2279</v>
      </c>
      <c r="J150">
        <v>4136386.83</v>
      </c>
      <c r="K150" t="s">
        <v>2279</v>
      </c>
      <c r="L150" t="s">
        <v>2279</v>
      </c>
      <c r="M150" t="s">
        <v>2279</v>
      </c>
      <c r="N150" t="s">
        <v>2279</v>
      </c>
      <c r="O150" s="190" t="str">
        <f>"["&amp;$C150&amp;"]["&amp;$D150&amp;"]["&amp;$F150&amp;"]"</f>
        <v>[S05_InstallationFuelConsEmissions][1][FuelAnnualEmissions]</v>
      </c>
    </row>
    <row r="151" spans="1:15" x14ac:dyDescent="0.3">
      <c r="A151" t="s">
        <v>2277</v>
      </c>
      <c r="B151" t="s">
        <v>1843</v>
      </c>
      <c r="C151" t="s">
        <v>1844</v>
      </c>
      <c r="D151">
        <v>4</v>
      </c>
      <c r="E151" t="s">
        <v>1447</v>
      </c>
      <c r="F151" t="s">
        <v>1848</v>
      </c>
      <c r="G151" t="s">
        <v>1806</v>
      </c>
      <c r="H151" t="s">
        <v>2279</v>
      </c>
      <c r="I151" t="s">
        <v>2279</v>
      </c>
      <c r="J151">
        <v>34717</v>
      </c>
      <c r="K151" t="s">
        <v>2279</v>
      </c>
      <c r="L151" t="s">
        <v>2279</v>
      </c>
      <c r="M151" t="s">
        <v>2279</v>
      </c>
      <c r="N151" t="s">
        <v>2279</v>
      </c>
      <c r="O151" s="190" t="str">
        <f>"["&amp;$C151&amp;"]["&amp;$D151&amp;"]["&amp;$F151&amp;"]"</f>
        <v>[S05_InstallationFuelConsEmissions][4][FuelAnnualEmissions]</v>
      </c>
    </row>
    <row r="152" spans="1:15" x14ac:dyDescent="0.3">
      <c r="A152" t="s">
        <v>2277</v>
      </c>
      <c r="B152" t="s">
        <v>1843</v>
      </c>
      <c r="C152" t="s">
        <v>1844</v>
      </c>
      <c r="D152">
        <v>5</v>
      </c>
      <c r="E152" t="s">
        <v>1447</v>
      </c>
      <c r="F152" t="s">
        <v>1848</v>
      </c>
      <c r="G152" t="s">
        <v>1806</v>
      </c>
      <c r="H152" t="s">
        <v>2279</v>
      </c>
      <c r="I152" t="s">
        <v>2279</v>
      </c>
      <c r="J152">
        <v>2551017</v>
      </c>
      <c r="K152" t="s">
        <v>2279</v>
      </c>
      <c r="L152" t="s">
        <v>2279</v>
      </c>
      <c r="M152" t="s">
        <v>2279</v>
      </c>
      <c r="N152" t="s">
        <v>2279</v>
      </c>
      <c r="O152" s="190" t="str">
        <f>"["&amp;$C152&amp;"]["&amp;$D152&amp;"]["&amp;$F152&amp;"]"</f>
        <v>[S05_InstallationFuelConsEmissions][5][FuelAnnualEmissions]</v>
      </c>
    </row>
    <row r="153" spans="1:15" x14ac:dyDescent="0.3">
      <c r="A153" t="s">
        <v>2277</v>
      </c>
      <c r="B153" t="s">
        <v>1843</v>
      </c>
      <c r="C153" t="s">
        <v>1844</v>
      </c>
      <c r="D153">
        <v>8</v>
      </c>
      <c r="E153" t="s">
        <v>1447</v>
      </c>
      <c r="F153" t="s">
        <v>1848</v>
      </c>
      <c r="G153" t="s">
        <v>1806</v>
      </c>
      <c r="H153" t="s">
        <v>2279</v>
      </c>
      <c r="I153" t="s">
        <v>2279</v>
      </c>
      <c r="J153">
        <v>877764</v>
      </c>
      <c r="K153" t="s">
        <v>2279</v>
      </c>
      <c r="L153" t="s">
        <v>2279</v>
      </c>
      <c r="M153" t="s">
        <v>2279</v>
      </c>
      <c r="N153" t="s">
        <v>2279</v>
      </c>
      <c r="O153" s="190" t="str">
        <f>"["&amp;$C153&amp;"]["&amp;$D153&amp;"]["&amp;$F153&amp;"]"</f>
        <v>[S05_InstallationFuelConsEmissions][8][FuelAnnualEmissions]</v>
      </c>
    </row>
    <row r="154" spans="1:15" x14ac:dyDescent="0.3">
      <c r="A154" t="s">
        <v>2277</v>
      </c>
      <c r="B154" t="s">
        <v>1843</v>
      </c>
      <c r="C154" t="s">
        <v>1844</v>
      </c>
      <c r="D154">
        <v>9</v>
      </c>
      <c r="E154" t="s">
        <v>1447</v>
      </c>
      <c r="F154" t="s">
        <v>1848</v>
      </c>
      <c r="G154" t="s">
        <v>1806</v>
      </c>
      <c r="H154" t="s">
        <v>2279</v>
      </c>
      <c r="I154" t="s">
        <v>2279</v>
      </c>
      <c r="J154">
        <v>375225</v>
      </c>
      <c r="K154" t="s">
        <v>2279</v>
      </c>
      <c r="L154" t="s">
        <v>2279</v>
      </c>
      <c r="M154" t="s">
        <v>2279</v>
      </c>
      <c r="N154" t="s">
        <v>2279</v>
      </c>
      <c r="O154" s="190" t="str">
        <f>"["&amp;$C154&amp;"]["&amp;$D154&amp;"]["&amp;$F154&amp;"]"</f>
        <v>[S05_InstallationFuelConsEmissions][9][FuelAnnualEmissions]</v>
      </c>
    </row>
    <row r="155" spans="1:15" x14ac:dyDescent="0.3">
      <c r="A155" t="s">
        <v>2277</v>
      </c>
      <c r="B155" t="s">
        <v>1843</v>
      </c>
      <c r="C155" t="s">
        <v>1844</v>
      </c>
      <c r="D155">
        <v>10</v>
      </c>
      <c r="E155" t="s">
        <v>1447</v>
      </c>
      <c r="F155" t="s">
        <v>1848</v>
      </c>
      <c r="G155" t="s">
        <v>1806</v>
      </c>
      <c r="H155" t="s">
        <v>2279</v>
      </c>
      <c r="I155" t="s">
        <v>2279</v>
      </c>
      <c r="J155">
        <v>14310</v>
      </c>
      <c r="K155" t="s">
        <v>2279</v>
      </c>
      <c r="L155" t="s">
        <v>2279</v>
      </c>
      <c r="M155" t="s">
        <v>2279</v>
      </c>
      <c r="N155" t="s">
        <v>2279</v>
      </c>
      <c r="O155" s="190" t="str">
        <f>"["&amp;$C155&amp;"]["&amp;$D155&amp;"]["&amp;$F155&amp;"]"</f>
        <v>[S05_InstallationFuelConsEmissions][10][FuelAnnualEmissions]</v>
      </c>
    </row>
    <row r="156" spans="1:15" x14ac:dyDescent="0.3">
      <c r="A156" t="s">
        <v>2277</v>
      </c>
      <c r="B156" t="s">
        <v>1843</v>
      </c>
      <c r="C156" t="s">
        <v>1844</v>
      </c>
      <c r="D156">
        <v>11</v>
      </c>
      <c r="E156" t="s">
        <v>1447</v>
      </c>
      <c r="F156" t="s">
        <v>1848</v>
      </c>
      <c r="G156" t="s">
        <v>1806</v>
      </c>
      <c r="H156" t="s">
        <v>2279</v>
      </c>
      <c r="I156" t="s">
        <v>2279</v>
      </c>
      <c r="J156">
        <v>611670.57999999996</v>
      </c>
      <c r="K156" t="s">
        <v>2279</v>
      </c>
      <c r="L156" t="s">
        <v>2279</v>
      </c>
      <c r="M156" t="s">
        <v>2279</v>
      </c>
      <c r="N156" t="s">
        <v>2279</v>
      </c>
      <c r="O156" s="190" t="str">
        <f>"["&amp;$C156&amp;"]["&amp;$D156&amp;"]["&amp;$F156&amp;"]"</f>
        <v>[S05_InstallationFuelConsEmissions][11][FuelAnnualEmissions]</v>
      </c>
    </row>
    <row r="157" spans="1:15" x14ac:dyDescent="0.3">
      <c r="A157" t="s">
        <v>2277</v>
      </c>
      <c r="B157" t="s">
        <v>1843</v>
      </c>
      <c r="C157" t="s">
        <v>1844</v>
      </c>
      <c r="D157">
        <v>12</v>
      </c>
      <c r="E157" t="s">
        <v>1447</v>
      </c>
      <c r="F157" t="s">
        <v>1848</v>
      </c>
      <c r="G157" t="s">
        <v>1806</v>
      </c>
      <c r="H157" t="s">
        <v>2279</v>
      </c>
      <c r="I157" t="s">
        <v>2279</v>
      </c>
      <c r="J157">
        <v>571349</v>
      </c>
      <c r="K157" t="s">
        <v>2279</v>
      </c>
      <c r="L157" t="s">
        <v>2279</v>
      </c>
      <c r="M157" t="s">
        <v>2279</v>
      </c>
      <c r="N157" t="s">
        <v>2279</v>
      </c>
      <c r="O157" s="190" t="str">
        <f>"["&amp;$C157&amp;"]["&amp;$D157&amp;"]["&amp;$F157&amp;"]"</f>
        <v>[S05_InstallationFuelConsEmissions][12][FuelAnnualEmissions]</v>
      </c>
    </row>
    <row r="158" spans="1:15" x14ac:dyDescent="0.3">
      <c r="A158" t="s">
        <v>2277</v>
      </c>
      <c r="B158" t="s">
        <v>1846</v>
      </c>
      <c r="C158" t="s">
        <v>1849</v>
      </c>
      <c r="D158">
        <v>1</v>
      </c>
      <c r="E158" t="s">
        <v>1447</v>
      </c>
      <c r="F158" t="s">
        <v>1850</v>
      </c>
      <c r="G158" t="s">
        <v>1737</v>
      </c>
      <c r="H158" t="s">
        <v>2279</v>
      </c>
      <c r="I158" t="s">
        <v>2279</v>
      </c>
      <c r="J158" t="s">
        <v>2279</v>
      </c>
      <c r="K158" t="s">
        <v>2279</v>
      </c>
      <c r="L158" t="s">
        <v>1453</v>
      </c>
      <c r="M158" t="s">
        <v>2279</v>
      </c>
      <c r="N158" t="s">
        <v>2279</v>
      </c>
      <c r="O158" s="190" t="str">
        <f>"["&amp;$C158&amp;"]["&amp;$D158&amp;"]["&amp;$F158&amp;"]"</f>
        <v>[S05_AggregateTotalEmissionsByCRF][1][CRFCategory1]</v>
      </c>
    </row>
    <row r="159" spans="1:15" x14ac:dyDescent="0.3">
      <c r="A159" t="s">
        <v>2277</v>
      </c>
      <c r="B159" t="s">
        <v>1846</v>
      </c>
      <c r="C159" t="s">
        <v>1849</v>
      </c>
      <c r="D159">
        <v>2</v>
      </c>
      <c r="E159" t="s">
        <v>1447</v>
      </c>
      <c r="F159" t="s">
        <v>1850</v>
      </c>
      <c r="G159" t="s">
        <v>1737</v>
      </c>
      <c r="H159" t="s">
        <v>2279</v>
      </c>
      <c r="I159" t="s">
        <v>2279</v>
      </c>
      <c r="J159" t="s">
        <v>2279</v>
      </c>
      <c r="K159" t="s">
        <v>2279</v>
      </c>
      <c r="L159" t="s">
        <v>1453</v>
      </c>
      <c r="M159" t="s">
        <v>2279</v>
      </c>
      <c r="N159" t="s">
        <v>2279</v>
      </c>
      <c r="O159" s="190" t="str">
        <f>"["&amp;$C159&amp;"]["&amp;$D159&amp;"]["&amp;$F159&amp;"]"</f>
        <v>[S05_AggregateTotalEmissionsByCRF][2][CRFCategory1]</v>
      </c>
    </row>
    <row r="160" spans="1:15" x14ac:dyDescent="0.3">
      <c r="A160" t="s">
        <v>2277</v>
      </c>
      <c r="B160" t="s">
        <v>1846</v>
      </c>
      <c r="C160" t="s">
        <v>1849</v>
      </c>
      <c r="D160">
        <v>3</v>
      </c>
      <c r="E160" t="s">
        <v>1447</v>
      </c>
      <c r="F160" t="s">
        <v>1850</v>
      </c>
      <c r="G160" t="s">
        <v>1737</v>
      </c>
      <c r="H160" t="s">
        <v>2279</v>
      </c>
      <c r="I160" t="s">
        <v>2279</v>
      </c>
      <c r="J160" t="s">
        <v>2279</v>
      </c>
      <c r="K160" t="s">
        <v>2279</v>
      </c>
      <c r="L160" t="s">
        <v>1481</v>
      </c>
      <c r="M160" t="s">
        <v>2279</v>
      </c>
      <c r="N160" t="s">
        <v>2279</v>
      </c>
      <c r="O160" s="190" t="str">
        <f>"["&amp;$C160&amp;"]["&amp;$D160&amp;"]["&amp;$F160&amp;"]"</f>
        <v>[S05_AggregateTotalEmissionsByCRF][3][CRFCategory1]</v>
      </c>
    </row>
    <row r="161" spans="1:15" x14ac:dyDescent="0.3">
      <c r="A161" t="s">
        <v>2277</v>
      </c>
      <c r="B161" t="s">
        <v>1846</v>
      </c>
      <c r="C161" t="s">
        <v>1849</v>
      </c>
      <c r="D161">
        <v>4</v>
      </c>
      <c r="E161" t="s">
        <v>1447</v>
      </c>
      <c r="F161" t="s">
        <v>1850</v>
      </c>
      <c r="G161" t="s">
        <v>1737</v>
      </c>
      <c r="H161" t="s">
        <v>2279</v>
      </c>
      <c r="I161" t="s">
        <v>2279</v>
      </c>
      <c r="J161" t="s">
        <v>2279</v>
      </c>
      <c r="K161" t="s">
        <v>2279</v>
      </c>
      <c r="L161" t="s">
        <v>1503</v>
      </c>
      <c r="M161" t="s">
        <v>2279</v>
      </c>
      <c r="N161" t="s">
        <v>2279</v>
      </c>
      <c r="O161" s="190" t="str">
        <f>"["&amp;$C161&amp;"]["&amp;$D161&amp;"]["&amp;$F161&amp;"]"</f>
        <v>[S05_AggregateTotalEmissionsByCRF][4][CRFCategory1]</v>
      </c>
    </row>
    <row r="162" spans="1:15" x14ac:dyDescent="0.3">
      <c r="A162" t="s">
        <v>2277</v>
      </c>
      <c r="B162" t="s">
        <v>1846</v>
      </c>
      <c r="C162" t="s">
        <v>1849</v>
      </c>
      <c r="D162">
        <v>5</v>
      </c>
      <c r="E162" t="s">
        <v>1447</v>
      </c>
      <c r="F162" t="s">
        <v>1850</v>
      </c>
      <c r="G162" t="s">
        <v>1737</v>
      </c>
      <c r="H162" t="s">
        <v>2279</v>
      </c>
      <c r="I162" t="s">
        <v>2279</v>
      </c>
      <c r="J162" t="s">
        <v>2279</v>
      </c>
      <c r="K162" t="s">
        <v>2279</v>
      </c>
      <c r="L162" t="s">
        <v>1531</v>
      </c>
      <c r="M162" t="s">
        <v>2279</v>
      </c>
      <c r="N162" t="s">
        <v>2279</v>
      </c>
      <c r="O162" s="190" t="str">
        <f>"["&amp;$C162&amp;"]["&amp;$D162&amp;"]["&amp;$F162&amp;"]"</f>
        <v>[S05_AggregateTotalEmissionsByCRF][5][CRFCategory1]</v>
      </c>
    </row>
    <row r="163" spans="1:15" x14ac:dyDescent="0.3">
      <c r="A163" t="s">
        <v>2277</v>
      </c>
      <c r="B163" t="s">
        <v>1846</v>
      </c>
      <c r="C163" t="s">
        <v>1849</v>
      </c>
      <c r="D163">
        <v>6</v>
      </c>
      <c r="E163" t="s">
        <v>1447</v>
      </c>
      <c r="F163" t="s">
        <v>1850</v>
      </c>
      <c r="G163" t="s">
        <v>1737</v>
      </c>
      <c r="H163" t="s">
        <v>2279</v>
      </c>
      <c r="I163" t="s">
        <v>2279</v>
      </c>
      <c r="J163" t="s">
        <v>2279</v>
      </c>
      <c r="K163" t="s">
        <v>2279</v>
      </c>
      <c r="L163" t="s">
        <v>1550</v>
      </c>
      <c r="M163" t="s">
        <v>2279</v>
      </c>
      <c r="N163" t="s">
        <v>2279</v>
      </c>
      <c r="O163" s="190" t="str">
        <f>"["&amp;$C163&amp;"]["&amp;$D163&amp;"]["&amp;$F163&amp;"]"</f>
        <v>[S05_AggregateTotalEmissionsByCRF][6][CRFCategory1]</v>
      </c>
    </row>
    <row r="164" spans="1:15" x14ac:dyDescent="0.3">
      <c r="A164" t="s">
        <v>2277</v>
      </c>
      <c r="B164" t="s">
        <v>1846</v>
      </c>
      <c r="C164" t="s">
        <v>1849</v>
      </c>
      <c r="D164">
        <v>7</v>
      </c>
      <c r="E164" t="s">
        <v>1447</v>
      </c>
      <c r="F164" t="s">
        <v>1850</v>
      </c>
      <c r="G164" t="s">
        <v>1737</v>
      </c>
      <c r="H164" t="s">
        <v>2279</v>
      </c>
      <c r="I164" t="s">
        <v>2279</v>
      </c>
      <c r="J164" t="s">
        <v>2279</v>
      </c>
      <c r="K164" t="s">
        <v>2279</v>
      </c>
      <c r="L164" t="s">
        <v>1558</v>
      </c>
      <c r="M164" t="s">
        <v>2279</v>
      </c>
      <c r="N164" t="s">
        <v>2279</v>
      </c>
      <c r="O164" s="190" t="str">
        <f>"["&amp;$C164&amp;"]["&amp;$D164&amp;"]["&amp;$F164&amp;"]"</f>
        <v>[S05_AggregateTotalEmissionsByCRF][7][CRFCategory1]</v>
      </c>
    </row>
    <row r="165" spans="1:15" x14ac:dyDescent="0.3">
      <c r="A165" t="s">
        <v>2277</v>
      </c>
      <c r="B165" t="s">
        <v>1846</v>
      </c>
      <c r="C165" t="s">
        <v>1849</v>
      </c>
      <c r="D165">
        <v>8</v>
      </c>
      <c r="E165" t="s">
        <v>1447</v>
      </c>
      <c r="F165" t="s">
        <v>1850</v>
      </c>
      <c r="G165" t="s">
        <v>1737</v>
      </c>
      <c r="H165" t="s">
        <v>2279</v>
      </c>
      <c r="I165" t="s">
        <v>2279</v>
      </c>
      <c r="J165" t="s">
        <v>2279</v>
      </c>
      <c r="K165" t="s">
        <v>2279</v>
      </c>
      <c r="L165" t="s">
        <v>1563</v>
      </c>
      <c r="M165" t="s">
        <v>2279</v>
      </c>
      <c r="N165" t="s">
        <v>2279</v>
      </c>
      <c r="O165" s="190" t="str">
        <f>"["&amp;$C165&amp;"]["&amp;$D165&amp;"]["&amp;$F165&amp;"]"</f>
        <v>[S05_AggregateTotalEmissionsByCRF][8][CRFCategory1]</v>
      </c>
    </row>
    <row r="166" spans="1:15" x14ac:dyDescent="0.3">
      <c r="A166" t="s">
        <v>2277</v>
      </c>
      <c r="B166" t="s">
        <v>1846</v>
      </c>
      <c r="C166" t="s">
        <v>1849</v>
      </c>
      <c r="D166">
        <v>9</v>
      </c>
      <c r="E166" t="s">
        <v>1447</v>
      </c>
      <c r="F166" t="s">
        <v>1850</v>
      </c>
      <c r="G166" t="s">
        <v>1737</v>
      </c>
      <c r="H166" t="s">
        <v>2279</v>
      </c>
      <c r="I166" t="s">
        <v>2279</v>
      </c>
      <c r="J166" t="s">
        <v>2279</v>
      </c>
      <c r="K166" t="s">
        <v>2279</v>
      </c>
      <c r="L166" t="s">
        <v>1563</v>
      </c>
      <c r="M166" t="s">
        <v>2279</v>
      </c>
      <c r="N166" t="s">
        <v>2279</v>
      </c>
      <c r="O166" s="190" t="str">
        <f>"["&amp;$C166&amp;"]["&amp;$D166&amp;"]["&amp;$F166&amp;"]"</f>
        <v>[S05_AggregateTotalEmissionsByCRF][9][CRFCategory1]</v>
      </c>
    </row>
    <row r="167" spans="1:15" x14ac:dyDescent="0.3">
      <c r="A167" t="s">
        <v>2277</v>
      </c>
      <c r="B167" t="s">
        <v>1846</v>
      </c>
      <c r="C167" t="s">
        <v>1849</v>
      </c>
      <c r="D167">
        <v>10</v>
      </c>
      <c r="E167" t="s">
        <v>1447</v>
      </c>
      <c r="F167" t="s">
        <v>1850</v>
      </c>
      <c r="G167" t="s">
        <v>1737</v>
      </c>
      <c r="H167" t="s">
        <v>2279</v>
      </c>
      <c r="I167" t="s">
        <v>2279</v>
      </c>
      <c r="J167" t="s">
        <v>2279</v>
      </c>
      <c r="K167" t="s">
        <v>2279</v>
      </c>
      <c r="L167" t="s">
        <v>1569</v>
      </c>
      <c r="M167" t="s">
        <v>2279</v>
      </c>
      <c r="N167" t="s">
        <v>2279</v>
      </c>
      <c r="O167" s="190" t="str">
        <f>"["&amp;$C167&amp;"]["&amp;$D167&amp;"]["&amp;$F167&amp;"]"</f>
        <v>[S05_AggregateTotalEmissionsByCRF][10][CRFCategory1]</v>
      </c>
    </row>
    <row r="168" spans="1:15" x14ac:dyDescent="0.3">
      <c r="A168" t="s">
        <v>2277</v>
      </c>
      <c r="B168" t="s">
        <v>1846</v>
      </c>
      <c r="C168" t="s">
        <v>1849</v>
      </c>
      <c r="D168">
        <v>11</v>
      </c>
      <c r="E168" t="s">
        <v>1447</v>
      </c>
      <c r="F168" t="s">
        <v>1850</v>
      </c>
      <c r="G168" t="s">
        <v>1737</v>
      </c>
      <c r="H168" t="s">
        <v>2279</v>
      </c>
      <c r="I168" t="s">
        <v>2279</v>
      </c>
      <c r="J168" t="s">
        <v>2279</v>
      </c>
      <c r="K168" t="s">
        <v>2279</v>
      </c>
      <c r="L168" t="s">
        <v>1569</v>
      </c>
      <c r="M168" t="s">
        <v>2279</v>
      </c>
      <c r="N168" t="s">
        <v>2279</v>
      </c>
      <c r="O168" s="190" t="str">
        <f>"["&amp;$C168&amp;"]["&amp;$D168&amp;"]["&amp;$F168&amp;"]"</f>
        <v>[S05_AggregateTotalEmissionsByCRF][11][CRFCategory1]</v>
      </c>
    </row>
    <row r="169" spans="1:15" x14ac:dyDescent="0.3">
      <c r="A169" t="s">
        <v>2277</v>
      </c>
      <c r="B169" t="s">
        <v>1846</v>
      </c>
      <c r="C169" t="s">
        <v>1849</v>
      </c>
      <c r="D169">
        <v>12</v>
      </c>
      <c r="E169" t="s">
        <v>1447</v>
      </c>
      <c r="F169" t="s">
        <v>1850</v>
      </c>
      <c r="G169" t="s">
        <v>1737</v>
      </c>
      <c r="H169" t="s">
        <v>2279</v>
      </c>
      <c r="I169" t="s">
        <v>2279</v>
      </c>
      <c r="J169" t="s">
        <v>2279</v>
      </c>
      <c r="K169" t="s">
        <v>2279</v>
      </c>
      <c r="L169" t="s">
        <v>1569</v>
      </c>
      <c r="M169" t="s">
        <v>2279</v>
      </c>
      <c r="N169" t="s">
        <v>2279</v>
      </c>
      <c r="O169" s="190" t="str">
        <f>"["&amp;$C169&amp;"]["&amp;$D169&amp;"]["&amp;$F169&amp;"]"</f>
        <v>[S05_AggregateTotalEmissionsByCRF][12][CRFCategory1]</v>
      </c>
    </row>
    <row r="170" spans="1:15" x14ac:dyDescent="0.3">
      <c r="A170" t="s">
        <v>2277</v>
      </c>
      <c r="B170" t="s">
        <v>1846</v>
      </c>
      <c r="C170" t="s">
        <v>1849</v>
      </c>
      <c r="D170">
        <v>13</v>
      </c>
      <c r="E170" t="s">
        <v>1447</v>
      </c>
      <c r="F170" t="s">
        <v>1850</v>
      </c>
      <c r="G170" t="s">
        <v>1737</v>
      </c>
      <c r="H170" t="s">
        <v>2279</v>
      </c>
      <c r="I170" t="s">
        <v>2279</v>
      </c>
      <c r="J170" t="s">
        <v>2279</v>
      </c>
      <c r="K170" t="s">
        <v>2279</v>
      </c>
      <c r="L170" t="s">
        <v>1569</v>
      </c>
      <c r="M170" t="s">
        <v>2279</v>
      </c>
      <c r="N170" t="s">
        <v>2279</v>
      </c>
      <c r="O170" s="190" t="str">
        <f>"["&amp;$C170&amp;"]["&amp;$D170&amp;"]["&amp;$F170&amp;"]"</f>
        <v>[S05_AggregateTotalEmissionsByCRF][13][CRFCategory1]</v>
      </c>
    </row>
    <row r="171" spans="1:15" x14ac:dyDescent="0.3">
      <c r="A171" t="s">
        <v>2277</v>
      </c>
      <c r="B171" t="s">
        <v>1846</v>
      </c>
      <c r="C171" t="s">
        <v>1849</v>
      </c>
      <c r="D171">
        <v>14</v>
      </c>
      <c r="E171" t="s">
        <v>1447</v>
      </c>
      <c r="F171" t="s">
        <v>1850</v>
      </c>
      <c r="G171" t="s">
        <v>1737</v>
      </c>
      <c r="H171" t="s">
        <v>2279</v>
      </c>
      <c r="I171" t="s">
        <v>2279</v>
      </c>
      <c r="J171" t="s">
        <v>2279</v>
      </c>
      <c r="K171" t="s">
        <v>2279</v>
      </c>
      <c r="L171" t="s">
        <v>1569</v>
      </c>
      <c r="M171" t="s">
        <v>2279</v>
      </c>
      <c r="N171" t="s">
        <v>2279</v>
      </c>
      <c r="O171" s="190" t="str">
        <f>"["&amp;$C171&amp;"]["&amp;$D171&amp;"]["&amp;$F171&amp;"]"</f>
        <v>[S05_AggregateTotalEmissionsByCRF][14][CRFCategory1]</v>
      </c>
    </row>
    <row r="172" spans="1:15" x14ac:dyDescent="0.3">
      <c r="A172" t="s">
        <v>2277</v>
      </c>
      <c r="B172" t="s">
        <v>1846</v>
      </c>
      <c r="C172" t="s">
        <v>1849</v>
      </c>
      <c r="D172">
        <v>15</v>
      </c>
      <c r="E172" t="s">
        <v>1447</v>
      </c>
      <c r="F172" t="s">
        <v>1850</v>
      </c>
      <c r="G172" t="s">
        <v>1737</v>
      </c>
      <c r="H172" t="s">
        <v>2279</v>
      </c>
      <c r="I172" t="s">
        <v>2279</v>
      </c>
      <c r="J172" t="s">
        <v>2279</v>
      </c>
      <c r="K172" t="s">
        <v>2279</v>
      </c>
      <c r="L172" t="s">
        <v>1569</v>
      </c>
      <c r="M172" t="s">
        <v>2279</v>
      </c>
      <c r="N172" t="s">
        <v>2279</v>
      </c>
      <c r="O172" s="190" t="str">
        <f>"["&amp;$C172&amp;"]["&amp;$D172&amp;"]["&amp;$F172&amp;"]"</f>
        <v>[S05_AggregateTotalEmissionsByCRF][15][CRFCategory1]</v>
      </c>
    </row>
    <row r="173" spans="1:15" x14ac:dyDescent="0.3">
      <c r="A173" t="s">
        <v>2277</v>
      </c>
      <c r="B173" t="s">
        <v>1846</v>
      </c>
      <c r="C173" t="s">
        <v>1849</v>
      </c>
      <c r="D173">
        <v>16</v>
      </c>
      <c r="E173" t="s">
        <v>1447</v>
      </c>
      <c r="F173" t="s">
        <v>1850</v>
      </c>
      <c r="G173" t="s">
        <v>1737</v>
      </c>
      <c r="H173" t="s">
        <v>2279</v>
      </c>
      <c r="I173" t="s">
        <v>2279</v>
      </c>
      <c r="J173" t="s">
        <v>2279</v>
      </c>
      <c r="K173" t="s">
        <v>2279</v>
      </c>
      <c r="L173" t="s">
        <v>1574</v>
      </c>
      <c r="M173" t="s">
        <v>2279</v>
      </c>
      <c r="N173" t="s">
        <v>2279</v>
      </c>
      <c r="O173" s="190" t="str">
        <f>"["&amp;$C173&amp;"]["&amp;$D173&amp;"]["&amp;$F173&amp;"]"</f>
        <v>[S05_AggregateTotalEmissionsByCRF][16][CRFCategory1]</v>
      </c>
    </row>
    <row r="174" spans="1:15" x14ac:dyDescent="0.3">
      <c r="A174" t="s">
        <v>2277</v>
      </c>
      <c r="B174" t="s">
        <v>1846</v>
      </c>
      <c r="C174" t="s">
        <v>1849</v>
      </c>
      <c r="D174">
        <v>17</v>
      </c>
      <c r="E174" t="s">
        <v>1447</v>
      </c>
      <c r="F174" t="s">
        <v>1850</v>
      </c>
      <c r="G174" t="s">
        <v>1737</v>
      </c>
      <c r="H174" t="s">
        <v>2279</v>
      </c>
      <c r="I174" t="s">
        <v>2279</v>
      </c>
      <c r="J174" t="s">
        <v>2279</v>
      </c>
      <c r="K174" t="s">
        <v>2279</v>
      </c>
      <c r="L174" t="s">
        <v>1593</v>
      </c>
      <c r="M174" t="s">
        <v>2279</v>
      </c>
      <c r="N174" t="s">
        <v>2279</v>
      </c>
      <c r="O174" s="190" t="str">
        <f>"["&amp;$C174&amp;"]["&amp;$D174&amp;"]["&amp;$F174&amp;"]"</f>
        <v>[S05_AggregateTotalEmissionsByCRF][17][CRFCategory1]</v>
      </c>
    </row>
    <row r="175" spans="1:15" x14ac:dyDescent="0.3">
      <c r="A175" t="s">
        <v>2277</v>
      </c>
      <c r="B175" t="s">
        <v>1846</v>
      </c>
      <c r="C175" t="s">
        <v>1849</v>
      </c>
      <c r="D175">
        <v>18</v>
      </c>
      <c r="E175" t="s">
        <v>1447</v>
      </c>
      <c r="F175" t="s">
        <v>1850</v>
      </c>
      <c r="G175" t="s">
        <v>1737</v>
      </c>
      <c r="H175" t="s">
        <v>2279</v>
      </c>
      <c r="I175" t="s">
        <v>2279</v>
      </c>
      <c r="J175" t="s">
        <v>2279</v>
      </c>
      <c r="K175" t="s">
        <v>2279</v>
      </c>
      <c r="L175" t="s">
        <v>1603</v>
      </c>
      <c r="M175" t="s">
        <v>2279</v>
      </c>
      <c r="N175" t="s">
        <v>2279</v>
      </c>
      <c r="O175" s="190" t="str">
        <f>"["&amp;$C175&amp;"]["&amp;$D175&amp;"]["&amp;$F175&amp;"]"</f>
        <v>[S05_AggregateTotalEmissionsByCRF][18][CRFCategory1]</v>
      </c>
    </row>
    <row r="176" spans="1:15" x14ac:dyDescent="0.3">
      <c r="A176" t="s">
        <v>2277</v>
      </c>
      <c r="B176" t="s">
        <v>1846</v>
      </c>
      <c r="C176" t="s">
        <v>1849</v>
      </c>
      <c r="D176">
        <v>19</v>
      </c>
      <c r="E176" t="s">
        <v>1447</v>
      </c>
      <c r="F176" t="s">
        <v>1850</v>
      </c>
      <c r="G176" t="s">
        <v>1737</v>
      </c>
      <c r="H176" t="s">
        <v>2279</v>
      </c>
      <c r="I176" t="s">
        <v>2279</v>
      </c>
      <c r="J176" t="s">
        <v>2279</v>
      </c>
      <c r="K176" t="s">
        <v>2279</v>
      </c>
      <c r="L176" t="s">
        <v>1637</v>
      </c>
      <c r="M176" t="s">
        <v>2279</v>
      </c>
      <c r="N176" t="s">
        <v>2279</v>
      </c>
      <c r="O176" s="190" t="str">
        <f>"["&amp;$C176&amp;"]["&amp;$D176&amp;"]["&amp;$F176&amp;"]"</f>
        <v>[S05_AggregateTotalEmissionsByCRF][19][CRFCategory1]</v>
      </c>
    </row>
    <row r="177" spans="1:15" x14ac:dyDescent="0.3">
      <c r="A177" t="s">
        <v>2277</v>
      </c>
      <c r="B177" t="s">
        <v>1846</v>
      </c>
      <c r="C177" t="s">
        <v>1849</v>
      </c>
      <c r="D177">
        <v>2</v>
      </c>
      <c r="E177" t="s">
        <v>1447</v>
      </c>
      <c r="F177" t="s">
        <v>1851</v>
      </c>
      <c r="G177" t="s">
        <v>1737</v>
      </c>
      <c r="H177" t="s">
        <v>2279</v>
      </c>
      <c r="I177" t="s">
        <v>2279</v>
      </c>
      <c r="J177" t="s">
        <v>2279</v>
      </c>
      <c r="K177" t="s">
        <v>2279</v>
      </c>
      <c r="L177" t="s">
        <v>1504</v>
      </c>
      <c r="M177" t="s">
        <v>2279</v>
      </c>
      <c r="N177" t="s">
        <v>2279</v>
      </c>
      <c r="O177" s="190" t="str">
        <f>"["&amp;$C177&amp;"]["&amp;$D177&amp;"]["&amp;$F177&amp;"]"</f>
        <v>[S05_AggregateTotalEmissionsByCRF][2][CRFCategory2]</v>
      </c>
    </row>
    <row r="178" spans="1:15" x14ac:dyDescent="0.3">
      <c r="A178" t="s">
        <v>2277</v>
      </c>
      <c r="B178" t="s">
        <v>1846</v>
      </c>
      <c r="C178" t="s">
        <v>1849</v>
      </c>
      <c r="D178">
        <v>5</v>
      </c>
      <c r="E178" t="s">
        <v>1447</v>
      </c>
      <c r="F178" t="s">
        <v>1851</v>
      </c>
      <c r="G178" t="s">
        <v>1737</v>
      </c>
      <c r="H178" t="s">
        <v>2279</v>
      </c>
      <c r="I178" t="s">
        <v>2279</v>
      </c>
      <c r="J178" t="s">
        <v>2279</v>
      </c>
      <c r="K178" t="s">
        <v>2279</v>
      </c>
      <c r="L178" t="s">
        <v>1589</v>
      </c>
      <c r="M178" t="s">
        <v>2279</v>
      </c>
      <c r="N178" t="s">
        <v>2279</v>
      </c>
      <c r="O178" s="190" t="str">
        <f>"["&amp;$C178&amp;"]["&amp;$D178&amp;"]["&amp;$F178&amp;"]"</f>
        <v>[S05_AggregateTotalEmissionsByCRF][5][CRFCategory2]</v>
      </c>
    </row>
    <row r="179" spans="1:15" x14ac:dyDescent="0.3">
      <c r="A179" t="s">
        <v>2277</v>
      </c>
      <c r="B179" t="s">
        <v>1846</v>
      </c>
      <c r="C179" t="s">
        <v>1849</v>
      </c>
      <c r="D179">
        <v>9</v>
      </c>
      <c r="E179" t="s">
        <v>1447</v>
      </c>
      <c r="F179" t="s">
        <v>1851</v>
      </c>
      <c r="G179" t="s">
        <v>1737</v>
      </c>
      <c r="H179" t="s">
        <v>2279</v>
      </c>
      <c r="I179" t="s">
        <v>2279</v>
      </c>
      <c r="J179" t="s">
        <v>2279</v>
      </c>
      <c r="K179" t="s">
        <v>2279</v>
      </c>
      <c r="L179" t="s">
        <v>1504</v>
      </c>
      <c r="M179" t="s">
        <v>2279</v>
      </c>
      <c r="N179" t="s">
        <v>2279</v>
      </c>
      <c r="O179" s="190" t="str">
        <f>"["&amp;$C179&amp;"]["&amp;$D179&amp;"]["&amp;$F179&amp;"]"</f>
        <v>[S05_AggregateTotalEmissionsByCRF][9][CRFCategory2]</v>
      </c>
    </row>
    <row r="180" spans="1:15" x14ac:dyDescent="0.3">
      <c r="A180" t="s">
        <v>2277</v>
      </c>
      <c r="B180" t="s">
        <v>1846</v>
      </c>
      <c r="C180" t="s">
        <v>1849</v>
      </c>
      <c r="D180">
        <v>11</v>
      </c>
      <c r="E180" t="s">
        <v>1447</v>
      </c>
      <c r="F180" t="s">
        <v>1851</v>
      </c>
      <c r="G180" t="s">
        <v>1737</v>
      </c>
      <c r="H180" t="s">
        <v>2279</v>
      </c>
      <c r="I180" t="s">
        <v>2279</v>
      </c>
      <c r="J180" t="s">
        <v>2279</v>
      </c>
      <c r="K180" t="s">
        <v>2279</v>
      </c>
      <c r="L180" t="s">
        <v>1426</v>
      </c>
      <c r="M180" t="s">
        <v>2279</v>
      </c>
      <c r="N180" t="s">
        <v>2279</v>
      </c>
      <c r="O180" s="190" t="str">
        <f>"["&amp;$C180&amp;"]["&amp;$D180&amp;"]["&amp;$F180&amp;"]"</f>
        <v>[S05_AggregateTotalEmissionsByCRF][11][CRFCategory2]</v>
      </c>
    </row>
    <row r="181" spans="1:15" x14ac:dyDescent="0.3">
      <c r="A181" t="s">
        <v>2277</v>
      </c>
      <c r="B181" t="s">
        <v>1846</v>
      </c>
      <c r="C181" t="s">
        <v>1849</v>
      </c>
      <c r="D181">
        <v>12</v>
      </c>
      <c r="E181" t="s">
        <v>1447</v>
      </c>
      <c r="F181" t="s">
        <v>1851</v>
      </c>
      <c r="G181" t="s">
        <v>1737</v>
      </c>
      <c r="H181" t="s">
        <v>2279</v>
      </c>
      <c r="I181" t="s">
        <v>2279</v>
      </c>
      <c r="J181" t="s">
        <v>2279</v>
      </c>
      <c r="K181" t="s">
        <v>2279</v>
      </c>
      <c r="L181" t="s">
        <v>1454</v>
      </c>
      <c r="M181" t="s">
        <v>2279</v>
      </c>
      <c r="N181" t="s">
        <v>2279</v>
      </c>
      <c r="O181" s="190" t="str">
        <f>"["&amp;$C181&amp;"]["&amp;$D181&amp;"]["&amp;$F181&amp;"]"</f>
        <v>[S05_AggregateTotalEmissionsByCRF][12][CRFCategory2]</v>
      </c>
    </row>
    <row r="182" spans="1:15" x14ac:dyDescent="0.3">
      <c r="A182" t="s">
        <v>2277</v>
      </c>
      <c r="B182" t="s">
        <v>1846</v>
      </c>
      <c r="C182" t="s">
        <v>1849</v>
      </c>
      <c r="D182">
        <v>13</v>
      </c>
      <c r="E182" t="s">
        <v>1447</v>
      </c>
      <c r="F182" t="s">
        <v>1851</v>
      </c>
      <c r="G182" t="s">
        <v>1737</v>
      </c>
      <c r="H182" t="s">
        <v>2279</v>
      </c>
      <c r="I182" t="s">
        <v>2279</v>
      </c>
      <c r="J182" t="s">
        <v>2279</v>
      </c>
      <c r="K182" t="s">
        <v>2279</v>
      </c>
      <c r="L182" t="s">
        <v>1482</v>
      </c>
      <c r="M182" t="s">
        <v>2279</v>
      </c>
      <c r="N182" t="s">
        <v>2279</v>
      </c>
      <c r="O182" s="190" t="str">
        <f>"["&amp;$C182&amp;"]["&amp;$D182&amp;"]["&amp;$F182&amp;"]"</f>
        <v>[S05_AggregateTotalEmissionsByCRF][13][CRFCategory2]</v>
      </c>
    </row>
    <row r="183" spans="1:15" x14ac:dyDescent="0.3">
      <c r="A183" t="s">
        <v>2277</v>
      </c>
      <c r="B183" t="s">
        <v>1846</v>
      </c>
      <c r="C183" t="s">
        <v>1849</v>
      </c>
      <c r="D183">
        <v>14</v>
      </c>
      <c r="E183" t="s">
        <v>1447</v>
      </c>
      <c r="F183" t="s">
        <v>1851</v>
      </c>
      <c r="G183" t="s">
        <v>1737</v>
      </c>
      <c r="H183" t="s">
        <v>2279</v>
      </c>
      <c r="I183" t="s">
        <v>2279</v>
      </c>
      <c r="J183" t="s">
        <v>2279</v>
      </c>
      <c r="K183" t="s">
        <v>2279</v>
      </c>
      <c r="L183" t="s">
        <v>1504</v>
      </c>
      <c r="M183" t="s">
        <v>2279</v>
      </c>
      <c r="N183" t="s">
        <v>2279</v>
      </c>
      <c r="O183" s="190" t="str">
        <f>"["&amp;$C183&amp;"]["&amp;$D183&amp;"]["&amp;$F183&amp;"]"</f>
        <v>[S05_AggregateTotalEmissionsByCRF][14][CRFCategory2]</v>
      </c>
    </row>
    <row r="184" spans="1:15" x14ac:dyDescent="0.3">
      <c r="A184" t="s">
        <v>2277</v>
      </c>
      <c r="B184" t="s">
        <v>1846</v>
      </c>
      <c r="C184" t="s">
        <v>1849</v>
      </c>
      <c r="D184">
        <v>15</v>
      </c>
      <c r="E184" t="s">
        <v>1447</v>
      </c>
      <c r="F184" t="s">
        <v>1851</v>
      </c>
      <c r="G184" t="s">
        <v>1737</v>
      </c>
      <c r="H184" t="s">
        <v>2279</v>
      </c>
      <c r="I184" t="s">
        <v>2279</v>
      </c>
      <c r="J184" t="s">
        <v>2279</v>
      </c>
      <c r="K184" t="s">
        <v>2279</v>
      </c>
      <c r="L184" t="s">
        <v>2320</v>
      </c>
      <c r="M184" t="s">
        <v>2279</v>
      </c>
      <c r="N184" t="s">
        <v>2279</v>
      </c>
      <c r="O184" s="190" t="str">
        <f>"["&amp;$C184&amp;"]["&amp;$D184&amp;"]["&amp;$F184&amp;"]"</f>
        <v>[S05_AggregateTotalEmissionsByCRF][15][CRFCategory2]</v>
      </c>
    </row>
    <row r="185" spans="1:15" x14ac:dyDescent="0.3">
      <c r="A185" t="s">
        <v>2277</v>
      </c>
      <c r="B185" t="s">
        <v>1846</v>
      </c>
      <c r="C185" t="s">
        <v>1849</v>
      </c>
      <c r="D185">
        <v>1</v>
      </c>
      <c r="E185" t="s">
        <v>1447</v>
      </c>
      <c r="F185" t="s">
        <v>1852</v>
      </c>
      <c r="G185" t="s">
        <v>1806</v>
      </c>
      <c r="H185" t="s">
        <v>2279</v>
      </c>
      <c r="I185" t="s">
        <v>2279</v>
      </c>
      <c r="J185">
        <v>5529660.8700000001</v>
      </c>
      <c r="K185" t="s">
        <v>2279</v>
      </c>
      <c r="L185" t="s">
        <v>2279</v>
      </c>
      <c r="M185" t="s">
        <v>2279</v>
      </c>
      <c r="N185" t="s">
        <v>2279</v>
      </c>
      <c r="O185" s="190" t="str">
        <f>"["&amp;$C185&amp;"]["&amp;$D185&amp;"]["&amp;$F185&amp;"]"</f>
        <v>[S05_AggregateTotalEmissionsByCRF][1][TotalEmissionsTCo2e]</v>
      </c>
    </row>
    <row r="186" spans="1:15" x14ac:dyDescent="0.3">
      <c r="A186" t="s">
        <v>2277</v>
      </c>
      <c r="B186" t="s">
        <v>1846</v>
      </c>
      <c r="C186" t="s">
        <v>1849</v>
      </c>
      <c r="D186">
        <v>2</v>
      </c>
      <c r="E186" t="s">
        <v>1447</v>
      </c>
      <c r="F186" t="s">
        <v>1852</v>
      </c>
      <c r="G186" t="s">
        <v>1806</v>
      </c>
      <c r="H186" t="s">
        <v>2279</v>
      </c>
      <c r="I186" t="s">
        <v>2279</v>
      </c>
      <c r="J186">
        <v>11712509.08</v>
      </c>
      <c r="K186" t="s">
        <v>2279</v>
      </c>
      <c r="L186" t="s">
        <v>2279</v>
      </c>
      <c r="M186" t="s">
        <v>2279</v>
      </c>
      <c r="N186" t="s">
        <v>2279</v>
      </c>
      <c r="O186" s="190" t="str">
        <f>"["&amp;$C186&amp;"]["&amp;$D186&amp;"]["&amp;$F186&amp;"]"</f>
        <v>[S05_AggregateTotalEmissionsByCRF][2][TotalEmissionsTCo2e]</v>
      </c>
    </row>
    <row r="187" spans="1:15" x14ac:dyDescent="0.3">
      <c r="A187" t="s">
        <v>2277</v>
      </c>
      <c r="B187" t="s">
        <v>1846</v>
      </c>
      <c r="C187" t="s">
        <v>1849</v>
      </c>
      <c r="D187">
        <v>3</v>
      </c>
      <c r="E187" t="s">
        <v>1447</v>
      </c>
      <c r="F187" t="s">
        <v>1852</v>
      </c>
      <c r="G187" t="s">
        <v>1806</v>
      </c>
      <c r="H187" t="s">
        <v>2279</v>
      </c>
      <c r="I187" t="s">
        <v>2279</v>
      </c>
      <c r="J187">
        <v>948300.08</v>
      </c>
      <c r="K187" t="s">
        <v>2279</v>
      </c>
      <c r="L187" t="s">
        <v>2279</v>
      </c>
      <c r="M187" t="s">
        <v>2279</v>
      </c>
      <c r="N187" t="s">
        <v>2279</v>
      </c>
      <c r="O187" s="190" t="str">
        <f>"["&amp;$C187&amp;"]["&amp;$D187&amp;"]["&amp;$F187&amp;"]"</f>
        <v>[S05_AggregateTotalEmissionsByCRF][3][TotalEmissionsTCo2e]</v>
      </c>
    </row>
    <row r="188" spans="1:15" x14ac:dyDescent="0.3">
      <c r="A188" t="s">
        <v>2277</v>
      </c>
      <c r="B188" t="s">
        <v>1846</v>
      </c>
      <c r="C188" t="s">
        <v>1849</v>
      </c>
      <c r="D188">
        <v>4</v>
      </c>
      <c r="E188" t="s">
        <v>1447</v>
      </c>
      <c r="F188" t="s">
        <v>1852</v>
      </c>
      <c r="G188" t="s">
        <v>1806</v>
      </c>
      <c r="H188" t="s">
        <v>2279</v>
      </c>
      <c r="I188" t="s">
        <v>2279</v>
      </c>
      <c r="J188">
        <v>893884.43</v>
      </c>
      <c r="K188" t="s">
        <v>2279</v>
      </c>
      <c r="L188" t="s">
        <v>2279</v>
      </c>
      <c r="M188" t="s">
        <v>2279</v>
      </c>
      <c r="N188" t="s">
        <v>2279</v>
      </c>
      <c r="O188" s="190" t="str">
        <f>"["&amp;$C188&amp;"]["&amp;$D188&amp;"]["&amp;$F188&amp;"]"</f>
        <v>[S05_AggregateTotalEmissionsByCRF][4][TotalEmissionsTCo2e]</v>
      </c>
    </row>
    <row r="189" spans="1:15" x14ac:dyDescent="0.3">
      <c r="A189" t="s">
        <v>2277</v>
      </c>
      <c r="B189" t="s">
        <v>1846</v>
      </c>
      <c r="C189" t="s">
        <v>1849</v>
      </c>
      <c r="D189">
        <v>5</v>
      </c>
      <c r="E189" t="s">
        <v>1447</v>
      </c>
      <c r="F189" t="s">
        <v>1852</v>
      </c>
      <c r="G189" t="s">
        <v>1806</v>
      </c>
      <c r="H189" t="s">
        <v>2279</v>
      </c>
      <c r="I189" t="s">
        <v>2279</v>
      </c>
      <c r="J189">
        <v>96742.73</v>
      </c>
      <c r="K189" t="s">
        <v>2279</v>
      </c>
      <c r="L189" t="s">
        <v>2279</v>
      </c>
      <c r="M189" t="s">
        <v>2279</v>
      </c>
      <c r="N189" t="s">
        <v>2279</v>
      </c>
      <c r="O189" s="190" t="str">
        <f>"["&amp;$C189&amp;"]["&amp;$D189&amp;"]["&amp;$F189&amp;"]"</f>
        <v>[S05_AggregateTotalEmissionsByCRF][5][TotalEmissionsTCo2e]</v>
      </c>
    </row>
    <row r="190" spans="1:15" x14ac:dyDescent="0.3">
      <c r="A190" t="s">
        <v>2277</v>
      </c>
      <c r="B190" t="s">
        <v>1846</v>
      </c>
      <c r="C190" t="s">
        <v>1849</v>
      </c>
      <c r="D190">
        <v>6</v>
      </c>
      <c r="E190" t="s">
        <v>1447</v>
      </c>
      <c r="F190" t="s">
        <v>1852</v>
      </c>
      <c r="G190" t="s">
        <v>1806</v>
      </c>
      <c r="H190" t="s">
        <v>2279</v>
      </c>
      <c r="I190" t="s">
        <v>2279</v>
      </c>
      <c r="J190">
        <v>116560.01</v>
      </c>
      <c r="K190" t="s">
        <v>2279</v>
      </c>
      <c r="L190" t="s">
        <v>2279</v>
      </c>
      <c r="M190" t="s">
        <v>2279</v>
      </c>
      <c r="N190" t="s">
        <v>2279</v>
      </c>
      <c r="O190" s="190" t="str">
        <f>"["&amp;$C190&amp;"]["&amp;$D190&amp;"]["&amp;$F190&amp;"]"</f>
        <v>[S05_AggregateTotalEmissionsByCRF][6][TotalEmissionsTCo2e]</v>
      </c>
    </row>
    <row r="191" spans="1:15" x14ac:dyDescent="0.3">
      <c r="A191" t="s">
        <v>2277</v>
      </c>
      <c r="B191" t="s">
        <v>1846</v>
      </c>
      <c r="C191" t="s">
        <v>1849</v>
      </c>
      <c r="D191">
        <v>7</v>
      </c>
      <c r="E191" t="s">
        <v>1447</v>
      </c>
      <c r="F191" t="s">
        <v>1852</v>
      </c>
      <c r="G191" t="s">
        <v>1806</v>
      </c>
      <c r="H191" t="s">
        <v>2279</v>
      </c>
      <c r="I191" t="s">
        <v>2279</v>
      </c>
      <c r="J191">
        <v>71376.42</v>
      </c>
      <c r="K191" t="s">
        <v>2279</v>
      </c>
      <c r="L191" t="s">
        <v>2279</v>
      </c>
      <c r="M191" t="s">
        <v>2279</v>
      </c>
      <c r="N191" t="s">
        <v>2279</v>
      </c>
      <c r="O191" s="190" t="str">
        <f>"["&amp;$C191&amp;"]["&amp;$D191&amp;"]["&amp;$F191&amp;"]"</f>
        <v>[S05_AggregateTotalEmissionsByCRF][7][TotalEmissionsTCo2e]</v>
      </c>
    </row>
    <row r="192" spans="1:15" x14ac:dyDescent="0.3">
      <c r="A192" t="s">
        <v>2277</v>
      </c>
      <c r="B192" t="s">
        <v>1846</v>
      </c>
      <c r="C192" t="s">
        <v>1849</v>
      </c>
      <c r="D192">
        <v>8</v>
      </c>
      <c r="E192" t="s">
        <v>1447</v>
      </c>
      <c r="F192" t="s">
        <v>1852</v>
      </c>
      <c r="G192" t="s">
        <v>1806</v>
      </c>
      <c r="H192" t="s">
        <v>2279</v>
      </c>
      <c r="I192" t="s">
        <v>2279</v>
      </c>
      <c r="J192">
        <v>870102.1</v>
      </c>
      <c r="K192" t="s">
        <v>2279</v>
      </c>
      <c r="L192" t="s">
        <v>2279</v>
      </c>
      <c r="M192" t="s">
        <v>2279</v>
      </c>
      <c r="N192" t="s">
        <v>2279</v>
      </c>
      <c r="O192" s="190" t="str">
        <f>"["&amp;$C192&amp;"]["&amp;$D192&amp;"]["&amp;$F192&amp;"]"</f>
        <v>[S05_AggregateTotalEmissionsByCRF][8][TotalEmissionsTCo2e]</v>
      </c>
    </row>
    <row r="193" spans="1:15" x14ac:dyDescent="0.3">
      <c r="A193" t="s">
        <v>2277</v>
      </c>
      <c r="B193" t="s">
        <v>1846</v>
      </c>
      <c r="C193" t="s">
        <v>1849</v>
      </c>
      <c r="D193">
        <v>9</v>
      </c>
      <c r="E193" t="s">
        <v>1447</v>
      </c>
      <c r="F193" t="s">
        <v>1852</v>
      </c>
      <c r="G193" t="s">
        <v>1806</v>
      </c>
      <c r="H193" t="s">
        <v>2279</v>
      </c>
      <c r="I193" t="s">
        <v>2279</v>
      </c>
      <c r="J193">
        <v>68608.75</v>
      </c>
      <c r="K193" t="s">
        <v>2279</v>
      </c>
      <c r="L193" t="s">
        <v>2279</v>
      </c>
      <c r="M193" t="s">
        <v>2279</v>
      </c>
      <c r="N193" t="s">
        <v>2279</v>
      </c>
      <c r="O193" s="190" t="str">
        <f>"["&amp;$C193&amp;"]["&amp;$D193&amp;"]["&amp;$F193&amp;"]"</f>
        <v>[S05_AggregateTotalEmissionsByCRF][9][TotalEmissionsTCo2e]</v>
      </c>
    </row>
    <row r="194" spans="1:15" x14ac:dyDescent="0.3">
      <c r="A194" t="s">
        <v>2277</v>
      </c>
      <c r="B194" t="s">
        <v>1846</v>
      </c>
      <c r="C194" t="s">
        <v>1849</v>
      </c>
      <c r="D194">
        <v>10</v>
      </c>
      <c r="E194" t="s">
        <v>1447</v>
      </c>
      <c r="F194" t="s">
        <v>1852</v>
      </c>
      <c r="G194" t="s">
        <v>1806</v>
      </c>
      <c r="H194" t="s">
        <v>2279</v>
      </c>
      <c r="I194" t="s">
        <v>2279</v>
      </c>
      <c r="J194">
        <v>38203.410000000003</v>
      </c>
      <c r="K194" t="s">
        <v>2279</v>
      </c>
      <c r="L194" t="s">
        <v>2279</v>
      </c>
      <c r="M194" t="s">
        <v>2279</v>
      </c>
      <c r="N194" t="s">
        <v>2279</v>
      </c>
      <c r="O194" s="190" t="str">
        <f>"["&amp;$C194&amp;"]["&amp;$D194&amp;"]["&amp;$F194&amp;"]"</f>
        <v>[S05_AggregateTotalEmissionsByCRF][10][TotalEmissionsTCo2e]</v>
      </c>
    </row>
    <row r="195" spans="1:15" x14ac:dyDescent="0.3">
      <c r="A195" t="s">
        <v>2277</v>
      </c>
      <c r="B195" t="s">
        <v>1846</v>
      </c>
      <c r="C195" t="s">
        <v>1849</v>
      </c>
      <c r="D195">
        <v>11</v>
      </c>
      <c r="E195" t="s">
        <v>1447</v>
      </c>
      <c r="F195" t="s">
        <v>1852</v>
      </c>
      <c r="G195" t="s">
        <v>1806</v>
      </c>
      <c r="H195" t="s">
        <v>2279</v>
      </c>
      <c r="I195" t="s">
        <v>2279</v>
      </c>
      <c r="J195">
        <v>2441773.81</v>
      </c>
      <c r="K195" t="s">
        <v>2279</v>
      </c>
      <c r="L195" t="s">
        <v>2279</v>
      </c>
      <c r="M195" t="s">
        <v>2279</v>
      </c>
      <c r="N195" t="s">
        <v>2279</v>
      </c>
      <c r="O195" s="190" t="str">
        <f>"["&amp;$C195&amp;"]["&amp;$D195&amp;"]["&amp;$F195&amp;"]"</f>
        <v>[S05_AggregateTotalEmissionsByCRF][11][TotalEmissionsTCo2e]</v>
      </c>
    </row>
    <row r="196" spans="1:15" x14ac:dyDescent="0.3">
      <c r="A196" t="s">
        <v>2277</v>
      </c>
      <c r="B196" t="s">
        <v>1846</v>
      </c>
      <c r="C196" t="s">
        <v>1849</v>
      </c>
      <c r="D196">
        <v>12</v>
      </c>
      <c r="E196" t="s">
        <v>1447</v>
      </c>
      <c r="F196" t="s">
        <v>1852</v>
      </c>
      <c r="G196" t="s">
        <v>1806</v>
      </c>
      <c r="H196" t="s">
        <v>2279</v>
      </c>
      <c r="I196" t="s">
        <v>2279</v>
      </c>
      <c r="J196">
        <v>46136.29</v>
      </c>
      <c r="K196" t="s">
        <v>2279</v>
      </c>
      <c r="L196" t="s">
        <v>2279</v>
      </c>
      <c r="M196" t="s">
        <v>2279</v>
      </c>
      <c r="N196" t="s">
        <v>2279</v>
      </c>
      <c r="O196" s="190" t="str">
        <f>"["&amp;$C196&amp;"]["&amp;$D196&amp;"]["&amp;$F196&amp;"]"</f>
        <v>[S05_AggregateTotalEmissionsByCRF][12][TotalEmissionsTCo2e]</v>
      </c>
    </row>
    <row r="197" spans="1:15" x14ac:dyDescent="0.3">
      <c r="A197" t="s">
        <v>2277</v>
      </c>
      <c r="B197" t="s">
        <v>1846</v>
      </c>
      <c r="C197" t="s">
        <v>1849</v>
      </c>
      <c r="D197">
        <v>13</v>
      </c>
      <c r="E197" t="s">
        <v>1447</v>
      </c>
      <c r="F197" t="s">
        <v>1852</v>
      </c>
      <c r="G197" t="s">
        <v>1806</v>
      </c>
      <c r="H197" t="s">
        <v>2279</v>
      </c>
      <c r="I197" t="s">
        <v>2279</v>
      </c>
      <c r="J197">
        <v>64156.55</v>
      </c>
      <c r="K197" t="s">
        <v>2279</v>
      </c>
      <c r="L197" t="s">
        <v>2279</v>
      </c>
      <c r="M197" t="s">
        <v>2279</v>
      </c>
      <c r="N197" t="s">
        <v>2279</v>
      </c>
      <c r="O197" s="190" t="str">
        <f>"["&amp;$C197&amp;"]["&amp;$D197&amp;"]["&amp;$F197&amp;"]"</f>
        <v>[S05_AggregateTotalEmissionsByCRF][13][TotalEmissionsTCo2e]</v>
      </c>
    </row>
    <row r="198" spans="1:15" x14ac:dyDescent="0.3">
      <c r="A198" t="s">
        <v>2277</v>
      </c>
      <c r="B198" t="s">
        <v>1846</v>
      </c>
      <c r="C198" t="s">
        <v>1849</v>
      </c>
      <c r="D198">
        <v>14</v>
      </c>
      <c r="E198" t="s">
        <v>1447</v>
      </c>
      <c r="F198" t="s">
        <v>1852</v>
      </c>
      <c r="G198" t="s">
        <v>1806</v>
      </c>
      <c r="H198" t="s">
        <v>2279</v>
      </c>
      <c r="I198" t="s">
        <v>2279</v>
      </c>
      <c r="J198">
        <v>75922.11</v>
      </c>
      <c r="K198" t="s">
        <v>2279</v>
      </c>
      <c r="L198" t="s">
        <v>2279</v>
      </c>
      <c r="M198" t="s">
        <v>2279</v>
      </c>
      <c r="N198" t="s">
        <v>2279</v>
      </c>
      <c r="O198" s="190" t="str">
        <f>"["&amp;$C198&amp;"]["&amp;$D198&amp;"]["&amp;$F198&amp;"]"</f>
        <v>[S05_AggregateTotalEmissionsByCRF][14][TotalEmissionsTCo2e]</v>
      </c>
    </row>
    <row r="199" spans="1:15" x14ac:dyDescent="0.3">
      <c r="A199" t="s">
        <v>2277</v>
      </c>
      <c r="B199" t="s">
        <v>1846</v>
      </c>
      <c r="C199" t="s">
        <v>1849</v>
      </c>
      <c r="D199">
        <v>15</v>
      </c>
      <c r="E199" t="s">
        <v>1447</v>
      </c>
      <c r="F199" t="s">
        <v>1852</v>
      </c>
      <c r="G199" t="s">
        <v>1806</v>
      </c>
      <c r="H199" t="s">
        <v>2279</v>
      </c>
      <c r="I199" t="s">
        <v>2279</v>
      </c>
      <c r="J199">
        <v>280888.89</v>
      </c>
      <c r="K199" t="s">
        <v>2279</v>
      </c>
      <c r="L199" t="s">
        <v>2279</v>
      </c>
      <c r="M199" t="s">
        <v>2279</v>
      </c>
      <c r="N199" t="s">
        <v>2279</v>
      </c>
      <c r="O199" s="190" t="str">
        <f>"["&amp;$C199&amp;"]["&amp;$D199&amp;"]["&amp;$F199&amp;"]"</f>
        <v>[S05_AggregateTotalEmissionsByCRF][15][TotalEmissionsTCo2e]</v>
      </c>
    </row>
    <row r="200" spans="1:15" x14ac:dyDescent="0.3">
      <c r="A200" t="s">
        <v>2277</v>
      </c>
      <c r="B200" t="s">
        <v>1846</v>
      </c>
      <c r="C200" t="s">
        <v>1849</v>
      </c>
      <c r="D200">
        <v>16</v>
      </c>
      <c r="E200" t="s">
        <v>1447</v>
      </c>
      <c r="F200" t="s">
        <v>1852</v>
      </c>
      <c r="G200" t="s">
        <v>1806</v>
      </c>
      <c r="H200" t="s">
        <v>2279</v>
      </c>
      <c r="I200" t="s">
        <v>2279</v>
      </c>
      <c r="J200">
        <v>87585.54</v>
      </c>
      <c r="K200" t="s">
        <v>2279</v>
      </c>
      <c r="L200" t="s">
        <v>2279</v>
      </c>
      <c r="M200" t="s">
        <v>2279</v>
      </c>
      <c r="N200" t="s">
        <v>2279</v>
      </c>
      <c r="O200" s="190" t="str">
        <f>"["&amp;$C200&amp;"]["&amp;$D200&amp;"]["&amp;$F200&amp;"]"</f>
        <v>[S05_AggregateTotalEmissionsByCRF][16][TotalEmissionsTCo2e]</v>
      </c>
    </row>
    <row r="201" spans="1:15" x14ac:dyDescent="0.3">
      <c r="A201" t="s">
        <v>2277</v>
      </c>
      <c r="B201" t="s">
        <v>1846</v>
      </c>
      <c r="C201" t="s">
        <v>1849</v>
      </c>
      <c r="D201">
        <v>17</v>
      </c>
      <c r="E201" t="s">
        <v>1447</v>
      </c>
      <c r="F201" t="s">
        <v>1852</v>
      </c>
      <c r="G201" t="s">
        <v>1806</v>
      </c>
      <c r="H201" t="s">
        <v>2279</v>
      </c>
      <c r="I201" t="s">
        <v>2279</v>
      </c>
      <c r="J201">
        <v>2763.35</v>
      </c>
      <c r="K201" t="s">
        <v>2279</v>
      </c>
      <c r="L201" t="s">
        <v>2279</v>
      </c>
      <c r="M201" t="s">
        <v>2279</v>
      </c>
      <c r="N201" t="s">
        <v>2279</v>
      </c>
      <c r="O201" s="190" t="str">
        <f>"["&amp;$C201&amp;"]["&amp;$D201&amp;"]["&amp;$F201&amp;"]"</f>
        <v>[S05_AggregateTotalEmissionsByCRF][17][TotalEmissionsTCo2e]</v>
      </c>
    </row>
    <row r="202" spans="1:15" x14ac:dyDescent="0.3">
      <c r="A202" t="s">
        <v>2277</v>
      </c>
      <c r="B202" t="s">
        <v>1846</v>
      </c>
      <c r="C202" t="s">
        <v>1849</v>
      </c>
      <c r="D202">
        <v>18</v>
      </c>
      <c r="E202" t="s">
        <v>1447</v>
      </c>
      <c r="F202" t="s">
        <v>1852</v>
      </c>
      <c r="G202" t="s">
        <v>1806</v>
      </c>
      <c r="H202" t="s">
        <v>2279</v>
      </c>
      <c r="I202" t="s">
        <v>2279</v>
      </c>
      <c r="J202">
        <v>23758.57</v>
      </c>
      <c r="K202" t="s">
        <v>2279</v>
      </c>
      <c r="L202" t="s">
        <v>2279</v>
      </c>
      <c r="M202" t="s">
        <v>2279</v>
      </c>
      <c r="N202" t="s">
        <v>2279</v>
      </c>
      <c r="O202" s="190" t="str">
        <f>"["&amp;$C202&amp;"]["&amp;$D202&amp;"]["&amp;$F202&amp;"]"</f>
        <v>[S05_AggregateTotalEmissionsByCRF][18][TotalEmissionsTCo2e]</v>
      </c>
    </row>
    <row r="203" spans="1:15" x14ac:dyDescent="0.3">
      <c r="A203" t="s">
        <v>2277</v>
      </c>
      <c r="B203" t="s">
        <v>1846</v>
      </c>
      <c r="C203" t="s">
        <v>1849</v>
      </c>
      <c r="D203">
        <v>19</v>
      </c>
      <c r="E203" t="s">
        <v>1447</v>
      </c>
      <c r="F203" t="s">
        <v>1852</v>
      </c>
      <c r="G203" t="s">
        <v>1806</v>
      </c>
      <c r="H203" t="s">
        <v>2279</v>
      </c>
      <c r="I203" t="s">
        <v>2279</v>
      </c>
      <c r="J203">
        <v>110639.51</v>
      </c>
      <c r="K203" t="s">
        <v>2279</v>
      </c>
      <c r="L203" t="s">
        <v>2279</v>
      </c>
      <c r="M203" t="s">
        <v>2279</v>
      </c>
      <c r="N203" t="s">
        <v>2279</v>
      </c>
      <c r="O203" s="190" t="str">
        <f>"["&amp;$C203&amp;"]["&amp;$D203&amp;"]["&amp;$F203&amp;"]"</f>
        <v>[S05_AggregateTotalEmissionsByCRF][19][TotalEmissionsTCo2e]</v>
      </c>
    </row>
    <row r="204" spans="1:15" x14ac:dyDescent="0.3">
      <c r="A204" t="s">
        <v>2277</v>
      </c>
      <c r="B204" t="s">
        <v>1846</v>
      </c>
      <c r="C204" t="s">
        <v>1849</v>
      </c>
      <c r="D204">
        <v>1</v>
      </c>
      <c r="E204" t="s">
        <v>1447</v>
      </c>
      <c r="F204" t="s">
        <v>1853</v>
      </c>
      <c r="G204" t="s">
        <v>1806</v>
      </c>
      <c r="H204" t="s">
        <v>2279</v>
      </c>
      <c r="I204" t="s">
        <v>2279</v>
      </c>
      <c r="J204">
        <v>5529660.8700000001</v>
      </c>
      <c r="K204" t="s">
        <v>2279</v>
      </c>
      <c r="L204" t="s">
        <v>2279</v>
      </c>
      <c r="M204" t="s">
        <v>2279</v>
      </c>
      <c r="N204" t="s">
        <v>2279</v>
      </c>
      <c r="O204" s="190" t="str">
        <f>"["&amp;$C204&amp;"]["&amp;$D204&amp;"]["&amp;$F204&amp;"]"</f>
        <v>[S05_AggregateTotalEmissionsByCRF][1][TotalCombustionEmissionsTCo2e]</v>
      </c>
    </row>
    <row r="205" spans="1:15" x14ac:dyDescent="0.3">
      <c r="A205" t="s">
        <v>2277</v>
      </c>
      <c r="B205" t="s">
        <v>1846</v>
      </c>
      <c r="C205" t="s">
        <v>1849</v>
      </c>
      <c r="D205">
        <v>2</v>
      </c>
      <c r="E205" t="s">
        <v>1447</v>
      </c>
      <c r="F205" t="s">
        <v>1853</v>
      </c>
      <c r="G205" t="s">
        <v>1806</v>
      </c>
      <c r="H205" t="s">
        <v>2279</v>
      </c>
      <c r="I205" t="s">
        <v>2279</v>
      </c>
      <c r="J205">
        <v>11706648.4</v>
      </c>
      <c r="K205" t="s">
        <v>2279</v>
      </c>
      <c r="L205" t="s">
        <v>2279</v>
      </c>
      <c r="M205" t="s">
        <v>2279</v>
      </c>
      <c r="N205" t="s">
        <v>2279</v>
      </c>
      <c r="O205" s="190" t="str">
        <f>"["&amp;$C205&amp;"]["&amp;$D205&amp;"]["&amp;$F205&amp;"]"</f>
        <v>[S05_AggregateTotalEmissionsByCRF][2][TotalCombustionEmissionsTCo2e]</v>
      </c>
    </row>
    <row r="206" spans="1:15" x14ac:dyDescent="0.3">
      <c r="A206" t="s">
        <v>2277</v>
      </c>
      <c r="B206" t="s">
        <v>1846</v>
      </c>
      <c r="C206" t="s">
        <v>1849</v>
      </c>
      <c r="D206">
        <v>3</v>
      </c>
      <c r="E206" t="s">
        <v>1447</v>
      </c>
      <c r="F206" t="s">
        <v>1853</v>
      </c>
      <c r="G206" t="s">
        <v>1806</v>
      </c>
      <c r="H206" t="s">
        <v>2279</v>
      </c>
      <c r="I206" t="s">
        <v>2279</v>
      </c>
      <c r="J206">
        <v>948300.08</v>
      </c>
      <c r="K206" t="s">
        <v>2279</v>
      </c>
      <c r="L206" t="s">
        <v>2279</v>
      </c>
      <c r="M206" t="s">
        <v>2279</v>
      </c>
      <c r="N206" t="s">
        <v>2279</v>
      </c>
      <c r="O206" s="190" t="str">
        <f>"["&amp;$C206&amp;"]["&amp;$D206&amp;"]["&amp;$F206&amp;"]"</f>
        <v>[S05_AggregateTotalEmissionsByCRF][3][TotalCombustionEmissionsTCo2e]</v>
      </c>
    </row>
    <row r="207" spans="1:15" x14ac:dyDescent="0.3">
      <c r="A207" t="s">
        <v>2277</v>
      </c>
      <c r="B207" t="s">
        <v>1846</v>
      </c>
      <c r="C207" t="s">
        <v>1849</v>
      </c>
      <c r="D207">
        <v>4</v>
      </c>
      <c r="E207" t="s">
        <v>1447</v>
      </c>
      <c r="F207" t="s">
        <v>1853</v>
      </c>
      <c r="G207" t="s">
        <v>1806</v>
      </c>
      <c r="H207" t="s">
        <v>2279</v>
      </c>
      <c r="I207" t="s">
        <v>2279</v>
      </c>
      <c r="J207">
        <v>893884.43</v>
      </c>
      <c r="K207" t="s">
        <v>2279</v>
      </c>
      <c r="L207" t="s">
        <v>2279</v>
      </c>
      <c r="M207" t="s">
        <v>2279</v>
      </c>
      <c r="N207" t="s">
        <v>2279</v>
      </c>
      <c r="O207" s="190" t="str">
        <f>"["&amp;$C207&amp;"]["&amp;$D207&amp;"]["&amp;$F207&amp;"]"</f>
        <v>[S05_AggregateTotalEmissionsByCRF][4][TotalCombustionEmissionsTCo2e]</v>
      </c>
    </row>
    <row r="208" spans="1:15" x14ac:dyDescent="0.3">
      <c r="A208" t="s">
        <v>2277</v>
      </c>
      <c r="B208" t="s">
        <v>1846</v>
      </c>
      <c r="C208" t="s">
        <v>1849</v>
      </c>
      <c r="D208">
        <v>5</v>
      </c>
      <c r="E208" t="s">
        <v>1447</v>
      </c>
      <c r="F208" t="s">
        <v>1853</v>
      </c>
      <c r="G208" t="s">
        <v>1806</v>
      </c>
      <c r="H208" t="s">
        <v>2279</v>
      </c>
      <c r="I208" t="s">
        <v>2279</v>
      </c>
      <c r="J208">
        <v>96742.73</v>
      </c>
      <c r="K208" t="s">
        <v>2279</v>
      </c>
      <c r="L208" t="s">
        <v>2279</v>
      </c>
      <c r="M208" t="s">
        <v>2279</v>
      </c>
      <c r="N208" t="s">
        <v>2279</v>
      </c>
      <c r="O208" s="190" t="str">
        <f>"["&amp;$C208&amp;"]["&amp;$D208&amp;"]["&amp;$F208&amp;"]"</f>
        <v>[S05_AggregateTotalEmissionsByCRF][5][TotalCombustionEmissionsTCo2e]</v>
      </c>
    </row>
    <row r="209" spans="1:15" x14ac:dyDescent="0.3">
      <c r="A209" t="s">
        <v>2277</v>
      </c>
      <c r="B209" t="s">
        <v>1846</v>
      </c>
      <c r="C209" t="s">
        <v>1849</v>
      </c>
      <c r="D209">
        <v>6</v>
      </c>
      <c r="E209" t="s">
        <v>1447</v>
      </c>
      <c r="F209" t="s">
        <v>1853</v>
      </c>
      <c r="G209" t="s">
        <v>1806</v>
      </c>
      <c r="H209" t="s">
        <v>2279</v>
      </c>
      <c r="I209" t="s">
        <v>2279</v>
      </c>
      <c r="J209">
        <v>116560.01</v>
      </c>
      <c r="K209" t="s">
        <v>2279</v>
      </c>
      <c r="L209" t="s">
        <v>2279</v>
      </c>
      <c r="M209" t="s">
        <v>2279</v>
      </c>
      <c r="N209" t="s">
        <v>2279</v>
      </c>
      <c r="O209" s="190" t="str">
        <f>"["&amp;$C209&amp;"]["&amp;$D209&amp;"]["&amp;$F209&amp;"]"</f>
        <v>[S05_AggregateTotalEmissionsByCRF][6][TotalCombustionEmissionsTCo2e]</v>
      </c>
    </row>
    <row r="210" spans="1:15" x14ac:dyDescent="0.3">
      <c r="A210" t="s">
        <v>2277</v>
      </c>
      <c r="B210" t="s">
        <v>1846</v>
      </c>
      <c r="C210" t="s">
        <v>1849</v>
      </c>
      <c r="D210">
        <v>7</v>
      </c>
      <c r="E210" t="s">
        <v>1447</v>
      </c>
      <c r="F210" t="s">
        <v>1853</v>
      </c>
      <c r="G210" t="s">
        <v>1806</v>
      </c>
      <c r="H210" t="s">
        <v>2279</v>
      </c>
      <c r="I210" t="s">
        <v>2279</v>
      </c>
      <c r="J210">
        <v>71376.42</v>
      </c>
      <c r="K210" t="s">
        <v>2279</v>
      </c>
      <c r="L210" t="s">
        <v>2279</v>
      </c>
      <c r="M210" t="s">
        <v>2279</v>
      </c>
      <c r="N210" t="s">
        <v>2279</v>
      </c>
      <c r="O210" s="190" t="str">
        <f>"["&amp;$C210&amp;"]["&amp;$D210&amp;"]["&amp;$F210&amp;"]"</f>
        <v>[S05_AggregateTotalEmissionsByCRF][7][TotalCombustionEmissionsTCo2e]</v>
      </c>
    </row>
    <row r="211" spans="1:15" x14ac:dyDescent="0.3">
      <c r="A211" t="s">
        <v>2277</v>
      </c>
      <c r="B211" t="s">
        <v>1846</v>
      </c>
      <c r="C211" t="s">
        <v>1849</v>
      </c>
      <c r="D211">
        <v>8</v>
      </c>
      <c r="E211" t="s">
        <v>1447</v>
      </c>
      <c r="F211" t="s">
        <v>1853</v>
      </c>
      <c r="G211" t="s">
        <v>1806</v>
      </c>
      <c r="H211" t="s">
        <v>2279</v>
      </c>
      <c r="I211" t="s">
        <v>2279</v>
      </c>
      <c r="J211">
        <v>870102.1</v>
      </c>
      <c r="K211" t="s">
        <v>2279</v>
      </c>
      <c r="L211" t="s">
        <v>2279</v>
      </c>
      <c r="M211" t="s">
        <v>2279</v>
      </c>
      <c r="N211" t="s">
        <v>2279</v>
      </c>
      <c r="O211" s="190" t="str">
        <f>"["&amp;$C211&amp;"]["&amp;$D211&amp;"]["&amp;$F211&amp;"]"</f>
        <v>[S05_AggregateTotalEmissionsByCRF][8][TotalCombustionEmissionsTCo2e]</v>
      </c>
    </row>
    <row r="212" spans="1:15" x14ac:dyDescent="0.3">
      <c r="A212" t="s">
        <v>2277</v>
      </c>
      <c r="B212" t="s">
        <v>1846</v>
      </c>
      <c r="C212" t="s">
        <v>1849</v>
      </c>
      <c r="D212">
        <v>9</v>
      </c>
      <c r="E212" t="s">
        <v>1447</v>
      </c>
      <c r="F212" t="s">
        <v>1853</v>
      </c>
      <c r="G212" t="s">
        <v>1806</v>
      </c>
      <c r="H212" t="s">
        <v>2279</v>
      </c>
      <c r="I212" t="s">
        <v>2279</v>
      </c>
      <c r="J212">
        <v>67572.149999999994</v>
      </c>
      <c r="K212" t="s">
        <v>2279</v>
      </c>
      <c r="L212" t="s">
        <v>2279</v>
      </c>
      <c r="M212" t="s">
        <v>2279</v>
      </c>
      <c r="N212" t="s">
        <v>2279</v>
      </c>
      <c r="O212" s="190" t="str">
        <f>"["&amp;$C212&amp;"]["&amp;$D212&amp;"]["&amp;$F212&amp;"]"</f>
        <v>[S05_AggregateTotalEmissionsByCRF][9][TotalCombustionEmissionsTCo2e]</v>
      </c>
    </row>
    <row r="213" spans="1:15" x14ac:dyDescent="0.3">
      <c r="A213" t="s">
        <v>2277</v>
      </c>
      <c r="B213" t="s">
        <v>1846</v>
      </c>
      <c r="C213" t="s">
        <v>1849</v>
      </c>
      <c r="D213">
        <v>10</v>
      </c>
      <c r="E213" t="s">
        <v>1447</v>
      </c>
      <c r="F213" t="s">
        <v>1853</v>
      </c>
      <c r="G213" t="s">
        <v>1806</v>
      </c>
      <c r="H213" t="s">
        <v>2279</v>
      </c>
      <c r="I213" t="s">
        <v>2279</v>
      </c>
      <c r="J213">
        <v>38203.410000000003</v>
      </c>
      <c r="K213" t="s">
        <v>2279</v>
      </c>
      <c r="L213" t="s">
        <v>2279</v>
      </c>
      <c r="M213" t="s">
        <v>2279</v>
      </c>
      <c r="N213" t="s">
        <v>2279</v>
      </c>
      <c r="O213" s="190" t="str">
        <f>"["&amp;$C213&amp;"]["&amp;$D213&amp;"]["&amp;$F213&amp;"]"</f>
        <v>[S05_AggregateTotalEmissionsByCRF][10][TotalCombustionEmissionsTCo2e]</v>
      </c>
    </row>
    <row r="214" spans="1:15" x14ac:dyDescent="0.3">
      <c r="A214" t="s">
        <v>2277</v>
      </c>
      <c r="B214" t="s">
        <v>1846</v>
      </c>
      <c r="C214" t="s">
        <v>1849</v>
      </c>
      <c r="D214">
        <v>11</v>
      </c>
      <c r="E214" t="s">
        <v>1447</v>
      </c>
      <c r="F214" t="s">
        <v>1853</v>
      </c>
      <c r="G214" t="s">
        <v>1806</v>
      </c>
      <c r="H214" t="s">
        <v>2279</v>
      </c>
      <c r="I214" t="s">
        <v>2279</v>
      </c>
      <c r="J214">
        <v>1227164.94</v>
      </c>
      <c r="K214" t="s">
        <v>2279</v>
      </c>
      <c r="L214" t="s">
        <v>2279</v>
      </c>
      <c r="M214" t="s">
        <v>2279</v>
      </c>
      <c r="N214" t="s">
        <v>2279</v>
      </c>
      <c r="O214" s="190" t="str">
        <f>"["&amp;$C214&amp;"]["&amp;$D214&amp;"]["&amp;$F214&amp;"]"</f>
        <v>[S05_AggregateTotalEmissionsByCRF][11][TotalCombustionEmissionsTCo2e]</v>
      </c>
    </row>
    <row r="215" spans="1:15" x14ac:dyDescent="0.3">
      <c r="A215" t="s">
        <v>2277</v>
      </c>
      <c r="B215" t="s">
        <v>1846</v>
      </c>
      <c r="C215" t="s">
        <v>1849</v>
      </c>
      <c r="D215">
        <v>12</v>
      </c>
      <c r="E215" t="s">
        <v>1447</v>
      </c>
      <c r="F215" t="s">
        <v>1853</v>
      </c>
      <c r="G215" t="s">
        <v>1806</v>
      </c>
      <c r="H215" t="s">
        <v>2279</v>
      </c>
      <c r="I215" t="s">
        <v>2279</v>
      </c>
      <c r="J215">
        <v>22062.71</v>
      </c>
      <c r="K215" t="s">
        <v>2279</v>
      </c>
      <c r="L215" t="s">
        <v>2279</v>
      </c>
      <c r="M215" t="s">
        <v>2279</v>
      </c>
      <c r="N215" t="s">
        <v>2279</v>
      </c>
      <c r="O215" s="190" t="str">
        <f>"["&amp;$C215&amp;"]["&amp;$D215&amp;"]["&amp;$F215&amp;"]"</f>
        <v>[S05_AggregateTotalEmissionsByCRF][12][TotalCombustionEmissionsTCo2e]</v>
      </c>
    </row>
    <row r="216" spans="1:15" x14ac:dyDescent="0.3">
      <c r="A216" t="s">
        <v>2277</v>
      </c>
      <c r="B216" t="s">
        <v>1846</v>
      </c>
      <c r="C216" t="s">
        <v>1849</v>
      </c>
      <c r="D216">
        <v>13</v>
      </c>
      <c r="E216" t="s">
        <v>1447</v>
      </c>
      <c r="F216" t="s">
        <v>1853</v>
      </c>
      <c r="G216" t="s">
        <v>1806</v>
      </c>
      <c r="H216" t="s">
        <v>2279</v>
      </c>
      <c r="I216" t="s">
        <v>2279</v>
      </c>
      <c r="J216">
        <v>52949.8</v>
      </c>
      <c r="K216" t="s">
        <v>2279</v>
      </c>
      <c r="L216" t="s">
        <v>2279</v>
      </c>
      <c r="M216" t="s">
        <v>2279</v>
      </c>
      <c r="N216" t="s">
        <v>2279</v>
      </c>
      <c r="O216" s="190" t="str">
        <f>"["&amp;$C216&amp;"]["&amp;$D216&amp;"]["&amp;$F216&amp;"]"</f>
        <v>[S05_AggregateTotalEmissionsByCRF][13][TotalCombustionEmissionsTCo2e]</v>
      </c>
    </row>
    <row r="217" spans="1:15" x14ac:dyDescent="0.3">
      <c r="A217" t="s">
        <v>2277</v>
      </c>
      <c r="B217" t="s">
        <v>1846</v>
      </c>
      <c r="C217" t="s">
        <v>1849</v>
      </c>
      <c r="D217">
        <v>14</v>
      </c>
      <c r="E217" t="s">
        <v>1447</v>
      </c>
      <c r="F217" t="s">
        <v>1853</v>
      </c>
      <c r="G217" t="s">
        <v>1806</v>
      </c>
      <c r="H217" t="s">
        <v>2279</v>
      </c>
      <c r="I217" t="s">
        <v>2279</v>
      </c>
      <c r="J217">
        <v>70314.12</v>
      </c>
      <c r="K217" t="s">
        <v>2279</v>
      </c>
      <c r="L217" t="s">
        <v>2279</v>
      </c>
      <c r="M217" t="s">
        <v>2279</v>
      </c>
      <c r="N217" t="s">
        <v>2279</v>
      </c>
      <c r="O217" s="190" t="str">
        <f>"["&amp;$C217&amp;"]["&amp;$D217&amp;"]["&amp;$F217&amp;"]"</f>
        <v>[S05_AggregateTotalEmissionsByCRF][14][TotalCombustionEmissionsTCo2e]</v>
      </c>
    </row>
    <row r="218" spans="1:15" x14ac:dyDescent="0.3">
      <c r="A218" t="s">
        <v>2277</v>
      </c>
      <c r="B218" t="s">
        <v>1846</v>
      </c>
      <c r="C218" t="s">
        <v>1849</v>
      </c>
      <c r="D218">
        <v>15</v>
      </c>
      <c r="E218" t="s">
        <v>1447</v>
      </c>
      <c r="F218" t="s">
        <v>1853</v>
      </c>
      <c r="G218" t="s">
        <v>1806</v>
      </c>
      <c r="H218" t="s">
        <v>2279</v>
      </c>
      <c r="I218" t="s">
        <v>2279</v>
      </c>
      <c r="J218">
        <v>227573.23</v>
      </c>
      <c r="K218" t="s">
        <v>2279</v>
      </c>
      <c r="L218" t="s">
        <v>2279</v>
      </c>
      <c r="M218" t="s">
        <v>2279</v>
      </c>
      <c r="N218" t="s">
        <v>2279</v>
      </c>
      <c r="O218" s="190" t="str">
        <f>"["&amp;$C218&amp;"]["&amp;$D218&amp;"]["&amp;$F218&amp;"]"</f>
        <v>[S05_AggregateTotalEmissionsByCRF][15][TotalCombustionEmissionsTCo2e]</v>
      </c>
    </row>
    <row r="219" spans="1:15" x14ac:dyDescent="0.3">
      <c r="A219" t="s">
        <v>2277</v>
      </c>
      <c r="B219" t="s">
        <v>1846</v>
      </c>
      <c r="C219" t="s">
        <v>1849</v>
      </c>
      <c r="D219">
        <v>16</v>
      </c>
      <c r="E219" t="s">
        <v>1447</v>
      </c>
      <c r="F219" t="s">
        <v>1853</v>
      </c>
      <c r="G219" t="s">
        <v>1806</v>
      </c>
      <c r="H219" t="s">
        <v>2279</v>
      </c>
      <c r="I219" t="s">
        <v>2279</v>
      </c>
      <c r="J219">
        <v>87585.54</v>
      </c>
      <c r="K219" t="s">
        <v>2279</v>
      </c>
      <c r="L219" t="s">
        <v>2279</v>
      </c>
      <c r="M219" t="s">
        <v>2279</v>
      </c>
      <c r="N219" t="s">
        <v>2279</v>
      </c>
      <c r="O219" s="190" t="str">
        <f>"["&amp;$C219&amp;"]["&amp;$D219&amp;"]["&amp;$F219&amp;"]"</f>
        <v>[S05_AggregateTotalEmissionsByCRF][16][TotalCombustionEmissionsTCo2e]</v>
      </c>
    </row>
    <row r="220" spans="1:15" x14ac:dyDescent="0.3">
      <c r="A220" t="s">
        <v>2277</v>
      </c>
      <c r="B220" t="s">
        <v>1846</v>
      </c>
      <c r="C220" t="s">
        <v>1849</v>
      </c>
      <c r="D220">
        <v>17</v>
      </c>
      <c r="E220" t="s">
        <v>1447</v>
      </c>
      <c r="F220" t="s">
        <v>1853</v>
      </c>
      <c r="G220" t="s">
        <v>1806</v>
      </c>
      <c r="H220" t="s">
        <v>2279</v>
      </c>
      <c r="I220" t="s">
        <v>2279</v>
      </c>
      <c r="J220">
        <v>2763.35</v>
      </c>
      <c r="K220" t="s">
        <v>2279</v>
      </c>
      <c r="L220" t="s">
        <v>2279</v>
      </c>
      <c r="M220" t="s">
        <v>2279</v>
      </c>
      <c r="N220" t="s">
        <v>2279</v>
      </c>
      <c r="O220" s="190" t="str">
        <f>"["&amp;$C220&amp;"]["&amp;$D220&amp;"]["&amp;$F220&amp;"]"</f>
        <v>[S05_AggregateTotalEmissionsByCRF][17][TotalCombustionEmissionsTCo2e]</v>
      </c>
    </row>
    <row r="221" spans="1:15" x14ac:dyDescent="0.3">
      <c r="A221" t="s">
        <v>2277</v>
      </c>
      <c r="B221" t="s">
        <v>1846</v>
      </c>
      <c r="C221" t="s">
        <v>1849</v>
      </c>
      <c r="D221">
        <v>18</v>
      </c>
      <c r="E221" t="s">
        <v>1447</v>
      </c>
      <c r="F221" t="s">
        <v>1853</v>
      </c>
      <c r="G221" t="s">
        <v>1806</v>
      </c>
      <c r="H221" t="s">
        <v>2279</v>
      </c>
      <c r="I221" t="s">
        <v>2279</v>
      </c>
      <c r="J221">
        <v>23758.57</v>
      </c>
      <c r="K221" t="s">
        <v>2279</v>
      </c>
      <c r="L221" t="s">
        <v>2279</v>
      </c>
      <c r="M221" t="s">
        <v>2279</v>
      </c>
      <c r="N221" t="s">
        <v>2279</v>
      </c>
      <c r="O221" s="190" t="str">
        <f>"["&amp;$C221&amp;"]["&amp;$D221&amp;"]["&amp;$F221&amp;"]"</f>
        <v>[S05_AggregateTotalEmissionsByCRF][18][TotalCombustionEmissionsTCo2e]</v>
      </c>
    </row>
    <row r="222" spans="1:15" x14ac:dyDescent="0.3">
      <c r="A222" t="s">
        <v>2277</v>
      </c>
      <c r="B222" t="s">
        <v>1846</v>
      </c>
      <c r="C222" t="s">
        <v>1849</v>
      </c>
      <c r="D222">
        <v>19</v>
      </c>
      <c r="E222" t="s">
        <v>1447</v>
      </c>
      <c r="F222" t="s">
        <v>1853</v>
      </c>
      <c r="G222" t="s">
        <v>1806</v>
      </c>
      <c r="H222" t="s">
        <v>2279</v>
      </c>
      <c r="I222" t="s">
        <v>2279</v>
      </c>
      <c r="J222">
        <v>110639.51</v>
      </c>
      <c r="K222" t="s">
        <v>2279</v>
      </c>
      <c r="L222" t="s">
        <v>2279</v>
      </c>
      <c r="M222" t="s">
        <v>2279</v>
      </c>
      <c r="N222" t="s">
        <v>2279</v>
      </c>
      <c r="O222" s="190" t="str">
        <f>"["&amp;$C222&amp;"]["&amp;$D222&amp;"]["&amp;$F222&amp;"]"</f>
        <v>[S05_AggregateTotalEmissionsByCRF][19][TotalCombustionEmissionsTCo2e]</v>
      </c>
    </row>
    <row r="223" spans="1:15" x14ac:dyDescent="0.3">
      <c r="A223" t="s">
        <v>2277</v>
      </c>
      <c r="B223" t="s">
        <v>1846</v>
      </c>
      <c r="C223" t="s">
        <v>1849</v>
      </c>
      <c r="D223">
        <v>1</v>
      </c>
      <c r="E223" t="s">
        <v>1447</v>
      </c>
      <c r="F223" t="s">
        <v>1854</v>
      </c>
      <c r="G223" t="s">
        <v>1806</v>
      </c>
      <c r="H223" t="s">
        <v>2279</v>
      </c>
      <c r="I223" t="s">
        <v>2279</v>
      </c>
      <c r="J223">
        <v>0</v>
      </c>
      <c r="K223" t="s">
        <v>2279</v>
      </c>
      <c r="L223" t="s">
        <v>2279</v>
      </c>
      <c r="M223" t="s">
        <v>2279</v>
      </c>
      <c r="N223" t="s">
        <v>2279</v>
      </c>
      <c r="O223" s="190" t="str">
        <f>"["&amp;$C223&amp;"]["&amp;$D223&amp;"]["&amp;$F223&amp;"]"</f>
        <v>[S05_AggregateTotalEmissionsByCRF][1][TotalProcessEmissionsTCo2e]</v>
      </c>
    </row>
    <row r="224" spans="1:15" x14ac:dyDescent="0.3">
      <c r="A224" t="s">
        <v>2277</v>
      </c>
      <c r="B224" t="s">
        <v>1846</v>
      </c>
      <c r="C224" t="s">
        <v>1849</v>
      </c>
      <c r="D224">
        <v>2</v>
      </c>
      <c r="E224" t="s">
        <v>1447</v>
      </c>
      <c r="F224" t="s">
        <v>1854</v>
      </c>
      <c r="G224" t="s">
        <v>1806</v>
      </c>
      <c r="H224" t="s">
        <v>2279</v>
      </c>
      <c r="I224" t="s">
        <v>2279</v>
      </c>
      <c r="J224">
        <v>5860.6840000000002</v>
      </c>
      <c r="K224" t="s">
        <v>2279</v>
      </c>
      <c r="L224" t="s">
        <v>2279</v>
      </c>
      <c r="M224" t="s">
        <v>2279</v>
      </c>
      <c r="N224" t="s">
        <v>2279</v>
      </c>
      <c r="O224" s="190" t="str">
        <f>"["&amp;$C224&amp;"]["&amp;$D224&amp;"]["&amp;$F224&amp;"]"</f>
        <v>[S05_AggregateTotalEmissionsByCRF][2][TotalProcessEmissionsTCo2e]</v>
      </c>
    </row>
    <row r="225" spans="1:15" x14ac:dyDescent="0.3">
      <c r="A225" t="s">
        <v>2277</v>
      </c>
      <c r="B225" t="s">
        <v>1846</v>
      </c>
      <c r="C225" t="s">
        <v>1849</v>
      </c>
      <c r="D225">
        <v>4</v>
      </c>
      <c r="E225" t="s">
        <v>1447</v>
      </c>
      <c r="F225" t="s">
        <v>1854</v>
      </c>
      <c r="G225" t="s">
        <v>1806</v>
      </c>
      <c r="H225" t="s">
        <v>2279</v>
      </c>
      <c r="I225" t="s">
        <v>2279</v>
      </c>
      <c r="J225">
        <v>0</v>
      </c>
      <c r="K225" t="s">
        <v>2279</v>
      </c>
      <c r="L225" t="s">
        <v>2279</v>
      </c>
      <c r="M225" t="s">
        <v>2279</v>
      </c>
      <c r="N225" t="s">
        <v>2279</v>
      </c>
      <c r="O225" s="190" t="str">
        <f>"["&amp;$C225&amp;"]["&amp;$D225&amp;"]["&amp;$F225&amp;"]"</f>
        <v>[S05_AggregateTotalEmissionsByCRF][4][TotalProcessEmissionsTCo2e]</v>
      </c>
    </row>
    <row r="226" spans="1:15" x14ac:dyDescent="0.3">
      <c r="A226" t="s">
        <v>2277</v>
      </c>
      <c r="B226" t="s">
        <v>1846</v>
      </c>
      <c r="C226" t="s">
        <v>1849</v>
      </c>
      <c r="D226">
        <v>5</v>
      </c>
      <c r="E226" t="s">
        <v>1447</v>
      </c>
      <c r="F226" t="s">
        <v>1854</v>
      </c>
      <c r="G226" t="s">
        <v>1806</v>
      </c>
      <c r="H226" t="s">
        <v>2279</v>
      </c>
      <c r="I226" t="s">
        <v>2279</v>
      </c>
      <c r="J226">
        <v>0</v>
      </c>
      <c r="K226" t="s">
        <v>2279</v>
      </c>
      <c r="L226" t="s">
        <v>2279</v>
      </c>
      <c r="M226" t="s">
        <v>2279</v>
      </c>
      <c r="N226" t="s">
        <v>2279</v>
      </c>
      <c r="O226" s="190" t="str">
        <f>"["&amp;$C226&amp;"]["&amp;$D226&amp;"]["&amp;$F226&amp;"]"</f>
        <v>[S05_AggregateTotalEmissionsByCRF][5][TotalProcessEmissionsTCo2e]</v>
      </c>
    </row>
    <row r="227" spans="1:15" x14ac:dyDescent="0.3">
      <c r="A227" t="s">
        <v>2277</v>
      </c>
      <c r="B227" t="s">
        <v>1846</v>
      </c>
      <c r="C227" t="s">
        <v>1849</v>
      </c>
      <c r="D227">
        <v>6</v>
      </c>
      <c r="E227" t="s">
        <v>1447</v>
      </c>
      <c r="F227" t="s">
        <v>1854</v>
      </c>
      <c r="G227" t="s">
        <v>1806</v>
      </c>
      <c r="H227" t="s">
        <v>2279</v>
      </c>
      <c r="I227" t="s">
        <v>2279</v>
      </c>
      <c r="J227">
        <v>0</v>
      </c>
      <c r="K227" t="s">
        <v>2279</v>
      </c>
      <c r="L227" t="s">
        <v>2279</v>
      </c>
      <c r="M227" t="s">
        <v>2279</v>
      </c>
      <c r="N227" t="s">
        <v>2279</v>
      </c>
      <c r="O227" s="190" t="str">
        <f>"["&amp;$C227&amp;"]["&amp;$D227&amp;"]["&amp;$F227&amp;"]"</f>
        <v>[S05_AggregateTotalEmissionsByCRF][6][TotalProcessEmissionsTCo2e]</v>
      </c>
    </row>
    <row r="228" spans="1:15" x14ac:dyDescent="0.3">
      <c r="A228" t="s">
        <v>2277</v>
      </c>
      <c r="B228" t="s">
        <v>1846</v>
      </c>
      <c r="C228" t="s">
        <v>1849</v>
      </c>
      <c r="D228">
        <v>7</v>
      </c>
      <c r="E228" t="s">
        <v>1447</v>
      </c>
      <c r="F228" t="s">
        <v>1854</v>
      </c>
      <c r="G228" t="s">
        <v>1806</v>
      </c>
      <c r="H228" t="s">
        <v>2279</v>
      </c>
      <c r="I228" t="s">
        <v>2279</v>
      </c>
      <c r="J228">
        <v>0</v>
      </c>
      <c r="K228" t="s">
        <v>2279</v>
      </c>
      <c r="L228" t="s">
        <v>2279</v>
      </c>
      <c r="M228" t="s">
        <v>2279</v>
      </c>
      <c r="N228" t="s">
        <v>2279</v>
      </c>
      <c r="O228" s="190" t="str">
        <f>"["&amp;$C228&amp;"]["&amp;$D228&amp;"]["&amp;$F228&amp;"]"</f>
        <v>[S05_AggregateTotalEmissionsByCRF][7][TotalProcessEmissionsTCo2e]</v>
      </c>
    </row>
    <row r="229" spans="1:15" x14ac:dyDescent="0.3">
      <c r="A229" t="s">
        <v>2277</v>
      </c>
      <c r="B229" t="s">
        <v>1846</v>
      </c>
      <c r="C229" t="s">
        <v>1849</v>
      </c>
      <c r="D229">
        <v>8</v>
      </c>
      <c r="E229" t="s">
        <v>1447</v>
      </c>
      <c r="F229" t="s">
        <v>1854</v>
      </c>
      <c r="G229" t="s">
        <v>1806</v>
      </c>
      <c r="H229" t="s">
        <v>2279</v>
      </c>
      <c r="I229" t="s">
        <v>2279</v>
      </c>
      <c r="J229">
        <v>0</v>
      </c>
      <c r="K229" t="s">
        <v>2279</v>
      </c>
      <c r="L229" t="s">
        <v>2279</v>
      </c>
      <c r="M229" t="s">
        <v>2279</v>
      </c>
      <c r="N229" t="s">
        <v>2279</v>
      </c>
      <c r="O229" s="190" t="str">
        <f>"["&amp;$C229&amp;"]["&amp;$D229&amp;"]["&amp;$F229&amp;"]"</f>
        <v>[S05_AggregateTotalEmissionsByCRF][8][TotalProcessEmissionsTCo2e]</v>
      </c>
    </row>
    <row r="230" spans="1:15" x14ac:dyDescent="0.3">
      <c r="A230" t="s">
        <v>2277</v>
      </c>
      <c r="B230" t="s">
        <v>1846</v>
      </c>
      <c r="C230" t="s">
        <v>1849</v>
      </c>
      <c r="D230">
        <v>9</v>
      </c>
      <c r="E230" t="s">
        <v>1447</v>
      </c>
      <c r="F230" t="s">
        <v>1854</v>
      </c>
      <c r="G230" t="s">
        <v>1806</v>
      </c>
      <c r="H230" t="s">
        <v>2279</v>
      </c>
      <c r="I230" t="s">
        <v>2279</v>
      </c>
      <c r="J230">
        <v>1036.5999999999999</v>
      </c>
      <c r="K230" t="s">
        <v>2279</v>
      </c>
      <c r="L230" t="s">
        <v>2279</v>
      </c>
      <c r="M230" t="s">
        <v>2279</v>
      </c>
      <c r="N230" t="s">
        <v>2279</v>
      </c>
      <c r="O230" s="190" t="str">
        <f>"["&amp;$C230&amp;"]["&amp;$D230&amp;"]["&amp;$F230&amp;"]"</f>
        <v>[S05_AggregateTotalEmissionsByCRF][9][TotalProcessEmissionsTCo2e]</v>
      </c>
    </row>
    <row r="231" spans="1:15" x14ac:dyDescent="0.3">
      <c r="A231" t="s">
        <v>2277</v>
      </c>
      <c r="B231" t="s">
        <v>1846</v>
      </c>
      <c r="C231" t="s">
        <v>1849</v>
      </c>
      <c r="D231">
        <v>10</v>
      </c>
      <c r="E231" t="s">
        <v>1447</v>
      </c>
      <c r="F231" t="s">
        <v>1854</v>
      </c>
      <c r="G231" t="s">
        <v>1806</v>
      </c>
      <c r="H231" t="s">
        <v>2279</v>
      </c>
      <c r="I231" t="s">
        <v>2279</v>
      </c>
      <c r="J231">
        <v>0</v>
      </c>
      <c r="K231" t="s">
        <v>2279</v>
      </c>
      <c r="L231" t="s">
        <v>2279</v>
      </c>
      <c r="M231" t="s">
        <v>2279</v>
      </c>
      <c r="N231" t="s">
        <v>2279</v>
      </c>
      <c r="O231" s="190" t="str">
        <f>"["&amp;$C231&amp;"]["&amp;$D231&amp;"]["&amp;$F231&amp;"]"</f>
        <v>[S05_AggregateTotalEmissionsByCRF][10][TotalProcessEmissionsTCo2e]</v>
      </c>
    </row>
    <row r="232" spans="1:15" x14ac:dyDescent="0.3">
      <c r="A232" t="s">
        <v>2277</v>
      </c>
      <c r="B232" t="s">
        <v>1846</v>
      </c>
      <c r="C232" t="s">
        <v>1849</v>
      </c>
      <c r="D232">
        <v>11</v>
      </c>
      <c r="E232" t="s">
        <v>1447</v>
      </c>
      <c r="F232" t="s">
        <v>1854</v>
      </c>
      <c r="G232" t="s">
        <v>1806</v>
      </c>
      <c r="H232" t="s">
        <v>2279</v>
      </c>
      <c r="I232" t="s">
        <v>2279</v>
      </c>
      <c r="J232">
        <v>1214608.8700000001</v>
      </c>
      <c r="K232" t="s">
        <v>2279</v>
      </c>
      <c r="L232" t="s">
        <v>2279</v>
      </c>
      <c r="M232" t="s">
        <v>2279</v>
      </c>
      <c r="N232" t="s">
        <v>2279</v>
      </c>
      <c r="O232" s="190" t="str">
        <f>"["&amp;$C232&amp;"]["&amp;$D232&amp;"]["&amp;$F232&amp;"]"</f>
        <v>[S05_AggregateTotalEmissionsByCRF][11][TotalProcessEmissionsTCo2e]</v>
      </c>
    </row>
    <row r="233" spans="1:15" x14ac:dyDescent="0.3">
      <c r="A233" t="s">
        <v>2277</v>
      </c>
      <c r="B233" t="s">
        <v>1846</v>
      </c>
      <c r="C233" t="s">
        <v>1849</v>
      </c>
      <c r="D233">
        <v>12</v>
      </c>
      <c r="E233" t="s">
        <v>1447</v>
      </c>
      <c r="F233" t="s">
        <v>1854</v>
      </c>
      <c r="G233" t="s">
        <v>1806</v>
      </c>
      <c r="H233" t="s">
        <v>2279</v>
      </c>
      <c r="I233" t="s">
        <v>2279</v>
      </c>
      <c r="J233">
        <v>24073.58</v>
      </c>
      <c r="K233" t="s">
        <v>2279</v>
      </c>
      <c r="L233" t="s">
        <v>2279</v>
      </c>
      <c r="M233" t="s">
        <v>2279</v>
      </c>
      <c r="N233" t="s">
        <v>2279</v>
      </c>
      <c r="O233" s="190" t="str">
        <f>"["&amp;$C233&amp;"]["&amp;$D233&amp;"]["&amp;$F233&amp;"]"</f>
        <v>[S05_AggregateTotalEmissionsByCRF][12][TotalProcessEmissionsTCo2e]</v>
      </c>
    </row>
    <row r="234" spans="1:15" x14ac:dyDescent="0.3">
      <c r="A234" t="s">
        <v>2277</v>
      </c>
      <c r="B234" t="s">
        <v>1846</v>
      </c>
      <c r="C234" t="s">
        <v>1849</v>
      </c>
      <c r="D234">
        <v>13</v>
      </c>
      <c r="E234" t="s">
        <v>1447</v>
      </c>
      <c r="F234" t="s">
        <v>1854</v>
      </c>
      <c r="G234" t="s">
        <v>1806</v>
      </c>
      <c r="H234" t="s">
        <v>2279</v>
      </c>
      <c r="I234" t="s">
        <v>2279</v>
      </c>
      <c r="J234">
        <v>11206.75</v>
      </c>
      <c r="K234" t="s">
        <v>2279</v>
      </c>
      <c r="L234" t="s">
        <v>2279</v>
      </c>
      <c r="M234" t="s">
        <v>2279</v>
      </c>
      <c r="N234" t="s">
        <v>2279</v>
      </c>
      <c r="O234" s="190" t="str">
        <f>"["&amp;$C234&amp;"]["&amp;$D234&amp;"]["&amp;$F234&amp;"]"</f>
        <v>[S05_AggregateTotalEmissionsByCRF][13][TotalProcessEmissionsTCo2e]</v>
      </c>
    </row>
    <row r="235" spans="1:15" x14ac:dyDescent="0.3">
      <c r="A235" t="s">
        <v>2277</v>
      </c>
      <c r="B235" t="s">
        <v>1846</v>
      </c>
      <c r="C235" t="s">
        <v>1849</v>
      </c>
      <c r="D235">
        <v>14</v>
      </c>
      <c r="E235" t="s">
        <v>1447</v>
      </c>
      <c r="F235" t="s">
        <v>1854</v>
      </c>
      <c r="G235" t="s">
        <v>1806</v>
      </c>
      <c r="H235" t="s">
        <v>2279</v>
      </c>
      <c r="I235" t="s">
        <v>2279</v>
      </c>
      <c r="J235">
        <v>5607.99</v>
      </c>
      <c r="K235" t="s">
        <v>2279</v>
      </c>
      <c r="L235" t="s">
        <v>2279</v>
      </c>
      <c r="M235" t="s">
        <v>2279</v>
      </c>
      <c r="N235" t="s">
        <v>2279</v>
      </c>
      <c r="O235" s="190" t="str">
        <f>"["&amp;$C235&amp;"]["&amp;$D235&amp;"]["&amp;$F235&amp;"]"</f>
        <v>[S05_AggregateTotalEmissionsByCRF][14][TotalProcessEmissionsTCo2e]</v>
      </c>
    </row>
    <row r="236" spans="1:15" x14ac:dyDescent="0.3">
      <c r="A236" t="s">
        <v>2277</v>
      </c>
      <c r="B236" t="s">
        <v>1846</v>
      </c>
      <c r="C236" t="s">
        <v>1849</v>
      </c>
      <c r="D236">
        <v>15</v>
      </c>
      <c r="E236" t="s">
        <v>1447</v>
      </c>
      <c r="F236" t="s">
        <v>1854</v>
      </c>
      <c r="G236" t="s">
        <v>1806</v>
      </c>
      <c r="H236" t="s">
        <v>2279</v>
      </c>
      <c r="I236" t="s">
        <v>2279</v>
      </c>
      <c r="J236">
        <v>53315.66</v>
      </c>
      <c r="K236" t="s">
        <v>2279</v>
      </c>
      <c r="L236" t="s">
        <v>2279</v>
      </c>
      <c r="M236" t="s">
        <v>2279</v>
      </c>
      <c r="N236" t="s">
        <v>2279</v>
      </c>
      <c r="O236" s="190" t="str">
        <f>"["&amp;$C236&amp;"]["&amp;$D236&amp;"]["&amp;$F236&amp;"]"</f>
        <v>[S05_AggregateTotalEmissionsByCRF][15][TotalProcessEmissionsTCo2e]</v>
      </c>
    </row>
    <row r="237" spans="1:15" x14ac:dyDescent="0.3">
      <c r="A237" t="s">
        <v>2277</v>
      </c>
      <c r="B237" t="s">
        <v>1846</v>
      </c>
      <c r="C237" t="s">
        <v>1849</v>
      </c>
      <c r="D237">
        <v>16</v>
      </c>
      <c r="E237" t="s">
        <v>1447</v>
      </c>
      <c r="F237" t="s">
        <v>1854</v>
      </c>
      <c r="G237" t="s">
        <v>1806</v>
      </c>
      <c r="H237" t="s">
        <v>2279</v>
      </c>
      <c r="I237" t="s">
        <v>2279</v>
      </c>
      <c r="J237">
        <v>0</v>
      </c>
      <c r="K237" t="s">
        <v>2279</v>
      </c>
      <c r="L237" t="s">
        <v>2279</v>
      </c>
      <c r="M237" t="s">
        <v>2279</v>
      </c>
      <c r="N237" t="s">
        <v>2279</v>
      </c>
      <c r="O237" s="190" t="str">
        <f>"["&amp;$C237&amp;"]["&amp;$D237&amp;"]["&amp;$F237&amp;"]"</f>
        <v>[S05_AggregateTotalEmissionsByCRF][16][TotalProcessEmissionsTCo2e]</v>
      </c>
    </row>
    <row r="238" spans="1:15" x14ac:dyDescent="0.3">
      <c r="A238" t="s">
        <v>2277</v>
      </c>
      <c r="B238" t="s">
        <v>1846</v>
      </c>
      <c r="C238" t="s">
        <v>1849</v>
      </c>
      <c r="D238">
        <v>17</v>
      </c>
      <c r="E238" t="s">
        <v>1447</v>
      </c>
      <c r="F238" t="s">
        <v>1854</v>
      </c>
      <c r="G238" t="s">
        <v>1806</v>
      </c>
      <c r="H238" t="s">
        <v>2279</v>
      </c>
      <c r="I238" t="s">
        <v>2279</v>
      </c>
      <c r="J238">
        <v>0</v>
      </c>
      <c r="K238" t="s">
        <v>2279</v>
      </c>
      <c r="L238" t="s">
        <v>2279</v>
      </c>
      <c r="M238" t="s">
        <v>2279</v>
      </c>
      <c r="N238" t="s">
        <v>2279</v>
      </c>
      <c r="O238" s="190" t="str">
        <f>"["&amp;$C238&amp;"]["&amp;$D238&amp;"]["&amp;$F238&amp;"]"</f>
        <v>[S05_AggregateTotalEmissionsByCRF][17][TotalProcessEmissionsTCo2e]</v>
      </c>
    </row>
    <row r="239" spans="1:15" x14ac:dyDescent="0.3">
      <c r="A239" t="s">
        <v>2277</v>
      </c>
      <c r="B239" t="s">
        <v>1846</v>
      </c>
      <c r="C239" t="s">
        <v>1849</v>
      </c>
      <c r="D239">
        <v>18</v>
      </c>
      <c r="E239" t="s">
        <v>1447</v>
      </c>
      <c r="F239" t="s">
        <v>1854</v>
      </c>
      <c r="G239" t="s">
        <v>1806</v>
      </c>
      <c r="H239" t="s">
        <v>2279</v>
      </c>
      <c r="I239" t="s">
        <v>2279</v>
      </c>
      <c r="J239">
        <v>0</v>
      </c>
      <c r="K239" t="s">
        <v>2279</v>
      </c>
      <c r="L239" t="s">
        <v>2279</v>
      </c>
      <c r="M239" t="s">
        <v>2279</v>
      </c>
      <c r="N239" t="s">
        <v>2279</v>
      </c>
      <c r="O239" s="190" t="str">
        <f>"["&amp;$C239&amp;"]["&amp;$D239&amp;"]["&amp;$F239&amp;"]"</f>
        <v>[S05_AggregateTotalEmissionsByCRF][18][TotalProcessEmissionsTCo2e]</v>
      </c>
    </row>
    <row r="240" spans="1:15" x14ac:dyDescent="0.3">
      <c r="A240" t="s">
        <v>2277</v>
      </c>
      <c r="B240" t="s">
        <v>1846</v>
      </c>
      <c r="C240" t="s">
        <v>1849</v>
      </c>
      <c r="D240">
        <v>19</v>
      </c>
      <c r="E240" t="s">
        <v>1447</v>
      </c>
      <c r="F240" t="s">
        <v>1854</v>
      </c>
      <c r="G240" t="s">
        <v>1806</v>
      </c>
      <c r="H240" t="s">
        <v>2279</v>
      </c>
      <c r="I240" t="s">
        <v>2279</v>
      </c>
      <c r="J240">
        <v>0</v>
      </c>
      <c r="K240" t="s">
        <v>2279</v>
      </c>
      <c r="L240" t="s">
        <v>2279</v>
      </c>
      <c r="M240" t="s">
        <v>2279</v>
      </c>
      <c r="N240" t="s">
        <v>2279</v>
      </c>
      <c r="O240" s="190" t="str">
        <f>"["&amp;$C240&amp;"]["&amp;$D240&amp;"]["&amp;$F240&amp;"]"</f>
        <v>[S05_AggregateTotalEmissionsByCRF][19][TotalProcessEmissionsTCo2e]</v>
      </c>
    </row>
    <row r="241" spans="1:15" x14ac:dyDescent="0.3">
      <c r="A241" t="s">
        <v>2277</v>
      </c>
      <c r="B241" t="s">
        <v>1847</v>
      </c>
      <c r="C241" t="s">
        <v>1855</v>
      </c>
      <c r="D241">
        <v>1</v>
      </c>
      <c r="E241" t="s">
        <v>1447</v>
      </c>
      <c r="F241" t="s">
        <v>1856</v>
      </c>
      <c r="G241" t="s">
        <v>1737</v>
      </c>
      <c r="H241" t="s">
        <v>2279</v>
      </c>
      <c r="I241" t="s">
        <v>2279</v>
      </c>
      <c r="J241" t="s">
        <v>2279</v>
      </c>
      <c r="K241" t="s">
        <v>2279</v>
      </c>
      <c r="L241" t="s">
        <v>1505</v>
      </c>
      <c r="M241" t="s">
        <v>2279</v>
      </c>
      <c r="N241" t="s">
        <v>2279</v>
      </c>
      <c r="O241" s="190" t="str">
        <f>"["&amp;$C241&amp;"]["&amp;$D241&amp;"]["&amp;$F241&amp;"]"</f>
        <v>[S05_DefaultValues][1][InstallationCategory]</v>
      </c>
    </row>
    <row r="242" spans="1:15" x14ac:dyDescent="0.3">
      <c r="A242" t="s">
        <v>2277</v>
      </c>
      <c r="B242" t="s">
        <v>1847</v>
      </c>
      <c r="C242" t="s">
        <v>1855</v>
      </c>
      <c r="D242">
        <v>2</v>
      </c>
      <c r="E242" t="s">
        <v>1447</v>
      </c>
      <c r="F242" t="s">
        <v>1856</v>
      </c>
      <c r="G242" t="s">
        <v>1737</v>
      </c>
      <c r="H242" t="s">
        <v>2279</v>
      </c>
      <c r="I242" t="s">
        <v>2279</v>
      </c>
      <c r="J242" t="s">
        <v>2279</v>
      </c>
      <c r="K242" t="s">
        <v>2279</v>
      </c>
      <c r="L242" t="s">
        <v>1427</v>
      </c>
      <c r="M242" t="s">
        <v>2279</v>
      </c>
      <c r="N242" t="s">
        <v>2279</v>
      </c>
      <c r="O242" s="190" t="str">
        <f>"["&amp;$C242&amp;"]["&amp;$D242&amp;"]["&amp;$F242&amp;"]"</f>
        <v>[S05_DefaultValues][2][InstallationCategory]</v>
      </c>
    </row>
    <row r="243" spans="1:15" x14ac:dyDescent="0.3">
      <c r="A243" t="s">
        <v>2277</v>
      </c>
      <c r="B243" t="s">
        <v>1847</v>
      </c>
      <c r="C243" t="s">
        <v>1855</v>
      </c>
      <c r="D243">
        <v>3</v>
      </c>
      <c r="E243" t="s">
        <v>1447</v>
      </c>
      <c r="F243" t="s">
        <v>1856</v>
      </c>
      <c r="G243" t="s">
        <v>1737</v>
      </c>
      <c r="H243" t="s">
        <v>2279</v>
      </c>
      <c r="I243" t="s">
        <v>2279</v>
      </c>
      <c r="J243" t="s">
        <v>2279</v>
      </c>
      <c r="K243" t="s">
        <v>2279</v>
      </c>
      <c r="L243" t="s">
        <v>1455</v>
      </c>
      <c r="M243" t="s">
        <v>2279</v>
      </c>
      <c r="N243" t="s">
        <v>2279</v>
      </c>
      <c r="O243" s="190" t="str">
        <f>"["&amp;$C243&amp;"]["&amp;$D243&amp;"]["&amp;$F243&amp;"]"</f>
        <v>[S05_DefaultValues][3][InstallationCategory]</v>
      </c>
    </row>
    <row r="244" spans="1:15" x14ac:dyDescent="0.3">
      <c r="A244" t="s">
        <v>2277</v>
      </c>
      <c r="B244" t="s">
        <v>1847</v>
      </c>
      <c r="C244" t="s">
        <v>1855</v>
      </c>
      <c r="D244">
        <v>4</v>
      </c>
      <c r="E244" t="s">
        <v>1447</v>
      </c>
      <c r="F244" t="s">
        <v>1856</v>
      </c>
      <c r="G244" t="s">
        <v>1737</v>
      </c>
      <c r="H244" t="s">
        <v>2279</v>
      </c>
      <c r="I244" t="s">
        <v>2279</v>
      </c>
      <c r="J244" t="s">
        <v>2279</v>
      </c>
      <c r="K244" t="s">
        <v>2279</v>
      </c>
      <c r="L244" t="s">
        <v>1505</v>
      </c>
      <c r="M244" t="s">
        <v>2279</v>
      </c>
      <c r="N244" t="s">
        <v>2279</v>
      </c>
      <c r="O244" s="190" t="str">
        <f>"["&amp;$C244&amp;"]["&amp;$D244&amp;"]["&amp;$F244&amp;"]"</f>
        <v>[S05_DefaultValues][4][InstallationCategory]</v>
      </c>
    </row>
    <row r="245" spans="1:15" x14ac:dyDescent="0.3">
      <c r="A245" t="s">
        <v>2277</v>
      </c>
      <c r="B245" t="s">
        <v>1847</v>
      </c>
      <c r="C245" t="s">
        <v>1855</v>
      </c>
      <c r="D245">
        <v>5</v>
      </c>
      <c r="E245" t="s">
        <v>1447</v>
      </c>
      <c r="F245" t="s">
        <v>1856</v>
      </c>
      <c r="G245" t="s">
        <v>1737</v>
      </c>
      <c r="H245" t="s">
        <v>2279</v>
      </c>
      <c r="I245" t="s">
        <v>2279</v>
      </c>
      <c r="J245" t="s">
        <v>2279</v>
      </c>
      <c r="K245" t="s">
        <v>2279</v>
      </c>
      <c r="L245" t="s">
        <v>1427</v>
      </c>
      <c r="M245" t="s">
        <v>2279</v>
      </c>
      <c r="N245" t="s">
        <v>2279</v>
      </c>
      <c r="O245" s="190" t="str">
        <f>"["&amp;$C245&amp;"]["&amp;$D245&amp;"]["&amp;$F245&amp;"]"</f>
        <v>[S05_DefaultValues][5][InstallationCategory]</v>
      </c>
    </row>
    <row r="246" spans="1:15" x14ac:dyDescent="0.3">
      <c r="A246" t="s">
        <v>2277</v>
      </c>
      <c r="B246" t="s">
        <v>1847</v>
      </c>
      <c r="C246" t="s">
        <v>1855</v>
      </c>
      <c r="D246">
        <v>6</v>
      </c>
      <c r="E246" t="s">
        <v>1447</v>
      </c>
      <c r="F246" t="s">
        <v>1856</v>
      </c>
      <c r="G246" t="s">
        <v>1737</v>
      </c>
      <c r="H246" t="s">
        <v>2279</v>
      </c>
      <c r="I246" t="s">
        <v>2279</v>
      </c>
      <c r="J246" t="s">
        <v>2279</v>
      </c>
      <c r="K246" t="s">
        <v>2279</v>
      </c>
      <c r="L246" t="s">
        <v>1455</v>
      </c>
      <c r="M246" t="s">
        <v>2279</v>
      </c>
      <c r="N246" t="s">
        <v>2279</v>
      </c>
      <c r="O246" s="190" t="str">
        <f>"["&amp;$C246&amp;"]["&amp;$D246&amp;"]["&amp;$F246&amp;"]"</f>
        <v>[S05_DefaultValues][6][InstallationCategory]</v>
      </c>
    </row>
    <row r="247" spans="1:15" x14ac:dyDescent="0.3">
      <c r="A247" t="s">
        <v>2277</v>
      </c>
      <c r="B247" t="s">
        <v>1847</v>
      </c>
      <c r="C247" t="s">
        <v>1855</v>
      </c>
      <c r="D247">
        <v>7</v>
      </c>
      <c r="E247" t="s">
        <v>1447</v>
      </c>
      <c r="F247" t="s">
        <v>1856</v>
      </c>
      <c r="G247" t="s">
        <v>1737</v>
      </c>
      <c r="H247" t="s">
        <v>2279</v>
      </c>
      <c r="I247" t="s">
        <v>2279</v>
      </c>
      <c r="J247" t="s">
        <v>2279</v>
      </c>
      <c r="K247" t="s">
        <v>2279</v>
      </c>
      <c r="L247" t="s">
        <v>1483</v>
      </c>
      <c r="M247" t="s">
        <v>2279</v>
      </c>
      <c r="N247" t="s">
        <v>2279</v>
      </c>
      <c r="O247" s="190" t="str">
        <f>"["&amp;$C247&amp;"]["&amp;$D247&amp;"]["&amp;$F247&amp;"]"</f>
        <v>[S05_DefaultValues][7][InstallationCategory]</v>
      </c>
    </row>
    <row r="248" spans="1:15" x14ac:dyDescent="0.3">
      <c r="A248" t="s">
        <v>2277</v>
      </c>
      <c r="B248" t="s">
        <v>1847</v>
      </c>
      <c r="C248" t="s">
        <v>1855</v>
      </c>
      <c r="D248">
        <v>8</v>
      </c>
      <c r="E248" t="s">
        <v>1447</v>
      </c>
      <c r="F248" t="s">
        <v>1856</v>
      </c>
      <c r="G248" t="s">
        <v>1737</v>
      </c>
      <c r="H248" t="s">
        <v>2279</v>
      </c>
      <c r="I248" t="s">
        <v>2279</v>
      </c>
      <c r="J248" t="s">
        <v>2279</v>
      </c>
      <c r="K248" t="s">
        <v>2279</v>
      </c>
      <c r="L248" t="s">
        <v>1505</v>
      </c>
      <c r="M248" t="s">
        <v>2279</v>
      </c>
      <c r="N248" t="s">
        <v>2279</v>
      </c>
      <c r="O248" s="190" t="str">
        <f>"["&amp;$C248&amp;"]["&amp;$D248&amp;"]["&amp;$F248&amp;"]"</f>
        <v>[S05_DefaultValues][8][InstallationCategory]</v>
      </c>
    </row>
    <row r="249" spans="1:15" x14ac:dyDescent="0.3">
      <c r="A249" t="s">
        <v>2277</v>
      </c>
      <c r="B249" t="s">
        <v>1847</v>
      </c>
      <c r="C249" t="s">
        <v>1855</v>
      </c>
      <c r="D249">
        <v>9</v>
      </c>
      <c r="E249" t="s">
        <v>1447</v>
      </c>
      <c r="F249" t="s">
        <v>1856</v>
      </c>
      <c r="G249" t="s">
        <v>1737</v>
      </c>
      <c r="H249" t="s">
        <v>2279</v>
      </c>
      <c r="I249" t="s">
        <v>2279</v>
      </c>
      <c r="J249" t="s">
        <v>2279</v>
      </c>
      <c r="K249" t="s">
        <v>2279</v>
      </c>
      <c r="L249" t="s">
        <v>1455</v>
      </c>
      <c r="M249" t="s">
        <v>2279</v>
      </c>
      <c r="N249" t="s">
        <v>2279</v>
      </c>
      <c r="O249" s="190" t="str">
        <f>"["&amp;$C249&amp;"]["&amp;$D249&amp;"]["&amp;$F249&amp;"]"</f>
        <v>[S05_DefaultValues][9][InstallationCategory]</v>
      </c>
    </row>
    <row r="250" spans="1:15" x14ac:dyDescent="0.3">
      <c r="A250" t="s">
        <v>2277</v>
      </c>
      <c r="B250" t="s">
        <v>1847</v>
      </c>
      <c r="C250" t="s">
        <v>1855</v>
      </c>
      <c r="D250">
        <v>10</v>
      </c>
      <c r="E250" t="s">
        <v>1447</v>
      </c>
      <c r="F250" t="s">
        <v>1856</v>
      </c>
      <c r="G250" t="s">
        <v>1737</v>
      </c>
      <c r="H250" t="s">
        <v>2279</v>
      </c>
      <c r="I250" t="s">
        <v>2279</v>
      </c>
      <c r="J250" t="s">
        <v>2279</v>
      </c>
      <c r="K250" t="s">
        <v>2279</v>
      </c>
      <c r="L250" t="s">
        <v>1505</v>
      </c>
      <c r="M250" t="s">
        <v>2279</v>
      </c>
      <c r="N250" t="s">
        <v>2279</v>
      </c>
      <c r="O250" s="190" t="str">
        <f>"["&amp;$C250&amp;"]["&amp;$D250&amp;"]["&amp;$F250&amp;"]"</f>
        <v>[S05_DefaultValues][10][InstallationCategory]</v>
      </c>
    </row>
    <row r="251" spans="1:15" x14ac:dyDescent="0.3">
      <c r="A251" t="s">
        <v>2277</v>
      </c>
      <c r="B251" t="s">
        <v>1847</v>
      </c>
      <c r="C251" t="s">
        <v>1855</v>
      </c>
      <c r="D251">
        <v>11</v>
      </c>
      <c r="E251" t="s">
        <v>1447</v>
      </c>
      <c r="F251" t="s">
        <v>1856</v>
      </c>
      <c r="G251" t="s">
        <v>1737</v>
      </c>
      <c r="H251" t="s">
        <v>2279</v>
      </c>
      <c r="I251" t="s">
        <v>2279</v>
      </c>
      <c r="J251" t="s">
        <v>2279</v>
      </c>
      <c r="K251" t="s">
        <v>2279</v>
      </c>
      <c r="L251" t="s">
        <v>1505</v>
      </c>
      <c r="M251" t="s">
        <v>2279</v>
      </c>
      <c r="N251" t="s">
        <v>2279</v>
      </c>
      <c r="O251" s="190" t="str">
        <f>"["&amp;$C251&amp;"]["&amp;$D251&amp;"]["&amp;$F251&amp;"]"</f>
        <v>[S05_DefaultValues][11][InstallationCategory]</v>
      </c>
    </row>
    <row r="252" spans="1:15" x14ac:dyDescent="0.3">
      <c r="A252" t="s">
        <v>2277</v>
      </c>
      <c r="B252" t="s">
        <v>1847</v>
      </c>
      <c r="C252" t="s">
        <v>1855</v>
      </c>
      <c r="D252">
        <v>12</v>
      </c>
      <c r="E252" t="s">
        <v>1447</v>
      </c>
      <c r="F252" t="s">
        <v>1856</v>
      </c>
      <c r="G252" t="s">
        <v>1737</v>
      </c>
      <c r="H252" t="s">
        <v>2279</v>
      </c>
      <c r="I252" t="s">
        <v>2279</v>
      </c>
      <c r="J252" t="s">
        <v>2279</v>
      </c>
      <c r="K252" t="s">
        <v>2279</v>
      </c>
      <c r="L252" t="s">
        <v>1455</v>
      </c>
      <c r="M252" t="s">
        <v>2279</v>
      </c>
      <c r="N252" t="s">
        <v>2279</v>
      </c>
      <c r="O252" s="190" t="str">
        <f>"["&amp;$C252&amp;"]["&amp;$D252&amp;"]["&amp;$F252&amp;"]"</f>
        <v>[S05_DefaultValues][12][InstallationCategory]</v>
      </c>
    </row>
    <row r="253" spans="1:15" x14ac:dyDescent="0.3">
      <c r="A253" t="s">
        <v>2277</v>
      </c>
      <c r="B253" t="s">
        <v>1847</v>
      </c>
      <c r="C253" t="s">
        <v>1855</v>
      </c>
      <c r="D253">
        <v>13</v>
      </c>
      <c r="E253" t="s">
        <v>1447</v>
      </c>
      <c r="F253" t="s">
        <v>1856</v>
      </c>
      <c r="G253" t="s">
        <v>1737</v>
      </c>
      <c r="H253" t="s">
        <v>2279</v>
      </c>
      <c r="I253" t="s">
        <v>2279</v>
      </c>
      <c r="J253" t="s">
        <v>2279</v>
      </c>
      <c r="K253" t="s">
        <v>2279</v>
      </c>
      <c r="L253" t="s">
        <v>1455</v>
      </c>
      <c r="M253" t="s">
        <v>2279</v>
      </c>
      <c r="N253" t="s">
        <v>2279</v>
      </c>
      <c r="O253" s="190" t="str">
        <f>"["&amp;$C253&amp;"]["&amp;$D253&amp;"]["&amp;$F253&amp;"]"</f>
        <v>[S05_DefaultValues][13][InstallationCategory]</v>
      </c>
    </row>
    <row r="254" spans="1:15" x14ac:dyDescent="0.3">
      <c r="A254" t="s">
        <v>2277</v>
      </c>
      <c r="B254" t="s">
        <v>1847</v>
      </c>
      <c r="C254" t="s">
        <v>1855</v>
      </c>
      <c r="D254">
        <v>14</v>
      </c>
      <c r="E254" t="s">
        <v>1447</v>
      </c>
      <c r="F254" t="s">
        <v>1856</v>
      </c>
      <c r="G254" t="s">
        <v>1737</v>
      </c>
      <c r="H254" t="s">
        <v>2279</v>
      </c>
      <c r="I254" t="s">
        <v>2279</v>
      </c>
      <c r="J254" t="s">
        <v>2279</v>
      </c>
      <c r="K254" t="s">
        <v>2279</v>
      </c>
      <c r="L254" t="s">
        <v>1505</v>
      </c>
      <c r="M254" t="s">
        <v>2279</v>
      </c>
      <c r="N254" t="s">
        <v>2279</v>
      </c>
      <c r="O254" s="190" t="str">
        <f>"["&amp;$C254&amp;"]["&amp;$D254&amp;"]["&amp;$F254&amp;"]"</f>
        <v>[S05_DefaultValues][14][InstallationCategory]</v>
      </c>
    </row>
    <row r="255" spans="1:15" x14ac:dyDescent="0.3">
      <c r="A255" t="s">
        <v>2277</v>
      </c>
      <c r="B255" t="s">
        <v>1847</v>
      </c>
      <c r="C255" t="s">
        <v>1855</v>
      </c>
      <c r="D255">
        <v>15</v>
      </c>
      <c r="E255" t="s">
        <v>1447</v>
      </c>
      <c r="F255" t="s">
        <v>1856</v>
      </c>
      <c r="G255" t="s">
        <v>1737</v>
      </c>
      <c r="H255" t="s">
        <v>2279</v>
      </c>
      <c r="I255" t="s">
        <v>2279</v>
      </c>
      <c r="J255" t="s">
        <v>2279</v>
      </c>
      <c r="K255" t="s">
        <v>2279</v>
      </c>
      <c r="L255" t="s">
        <v>1505</v>
      </c>
      <c r="M255" t="s">
        <v>2279</v>
      </c>
      <c r="N255" t="s">
        <v>2279</v>
      </c>
      <c r="O255" s="190" t="str">
        <f>"["&amp;$C255&amp;"]["&amp;$D255&amp;"]["&amp;$F255&amp;"]"</f>
        <v>[S05_DefaultValues][15][InstallationCategory]</v>
      </c>
    </row>
    <row r="256" spans="1:15" x14ac:dyDescent="0.3">
      <c r="A256" t="s">
        <v>2277</v>
      </c>
      <c r="B256" t="s">
        <v>1847</v>
      </c>
      <c r="C256" t="s">
        <v>1855</v>
      </c>
      <c r="D256">
        <v>16</v>
      </c>
      <c r="E256" t="s">
        <v>1447</v>
      </c>
      <c r="F256" t="s">
        <v>1856</v>
      </c>
      <c r="G256" t="s">
        <v>1737</v>
      </c>
      <c r="H256" t="s">
        <v>2279</v>
      </c>
      <c r="I256" t="s">
        <v>2279</v>
      </c>
      <c r="J256" t="s">
        <v>2279</v>
      </c>
      <c r="K256" t="s">
        <v>2279</v>
      </c>
      <c r="L256" t="s">
        <v>1505</v>
      </c>
      <c r="M256" t="s">
        <v>2279</v>
      </c>
      <c r="N256" t="s">
        <v>2279</v>
      </c>
      <c r="O256" s="190" t="str">
        <f>"["&amp;$C256&amp;"]["&amp;$D256&amp;"]["&amp;$F256&amp;"]"</f>
        <v>[S05_DefaultValues][16][InstallationCategory]</v>
      </c>
    </row>
    <row r="257" spans="1:15" x14ac:dyDescent="0.3">
      <c r="A257" t="s">
        <v>2277</v>
      </c>
      <c r="B257" t="s">
        <v>1847</v>
      </c>
      <c r="C257" t="s">
        <v>1855</v>
      </c>
      <c r="D257">
        <v>17</v>
      </c>
      <c r="E257" t="s">
        <v>1447</v>
      </c>
      <c r="F257" t="s">
        <v>1856</v>
      </c>
      <c r="G257" t="s">
        <v>1737</v>
      </c>
      <c r="H257" t="s">
        <v>2279</v>
      </c>
      <c r="I257" t="s">
        <v>2279</v>
      </c>
      <c r="J257" t="s">
        <v>2279</v>
      </c>
      <c r="K257" t="s">
        <v>2279</v>
      </c>
      <c r="L257" t="s">
        <v>1455</v>
      </c>
      <c r="M257" t="s">
        <v>2279</v>
      </c>
      <c r="N257" t="s">
        <v>2279</v>
      </c>
      <c r="O257" s="190" t="str">
        <f>"["&amp;$C257&amp;"]["&amp;$D257&amp;"]["&amp;$F257&amp;"]"</f>
        <v>[S05_DefaultValues][17][InstallationCategory]</v>
      </c>
    </row>
    <row r="258" spans="1:15" x14ac:dyDescent="0.3">
      <c r="A258" t="s">
        <v>2277</v>
      </c>
      <c r="B258" t="s">
        <v>1847</v>
      </c>
      <c r="C258" t="s">
        <v>1855</v>
      </c>
      <c r="D258">
        <v>18</v>
      </c>
      <c r="E258" t="s">
        <v>1447</v>
      </c>
      <c r="F258" t="s">
        <v>1856</v>
      </c>
      <c r="G258" t="s">
        <v>1737</v>
      </c>
      <c r="H258" t="s">
        <v>2279</v>
      </c>
      <c r="I258" t="s">
        <v>2279</v>
      </c>
      <c r="J258" t="s">
        <v>2279</v>
      </c>
      <c r="K258" t="s">
        <v>2279</v>
      </c>
      <c r="L258" t="s">
        <v>1505</v>
      </c>
      <c r="M258" t="s">
        <v>2279</v>
      </c>
      <c r="N258" t="s">
        <v>2279</v>
      </c>
      <c r="O258" s="190" t="str">
        <f>"["&amp;$C258&amp;"]["&amp;$D258&amp;"]["&amp;$F258&amp;"]"</f>
        <v>[S05_DefaultValues][18][InstallationCategory]</v>
      </c>
    </row>
    <row r="259" spans="1:15" x14ac:dyDescent="0.3">
      <c r="A259" t="s">
        <v>2277</v>
      </c>
      <c r="B259" t="s">
        <v>1847</v>
      </c>
      <c r="C259" t="s">
        <v>1855</v>
      </c>
      <c r="D259">
        <v>19</v>
      </c>
      <c r="E259" t="s">
        <v>1447</v>
      </c>
      <c r="F259" t="s">
        <v>1856</v>
      </c>
      <c r="G259" t="s">
        <v>1737</v>
      </c>
      <c r="H259" t="s">
        <v>2279</v>
      </c>
      <c r="I259" t="s">
        <v>2279</v>
      </c>
      <c r="J259" t="s">
        <v>2279</v>
      </c>
      <c r="K259" t="s">
        <v>2279</v>
      </c>
      <c r="L259" t="s">
        <v>1455</v>
      </c>
      <c r="M259" t="s">
        <v>2279</v>
      </c>
      <c r="N259" t="s">
        <v>2279</v>
      </c>
      <c r="O259" s="190" t="str">
        <f>"["&amp;$C259&amp;"]["&amp;$D259&amp;"]["&amp;$F259&amp;"]"</f>
        <v>[S05_DefaultValues][19][InstallationCategory]</v>
      </c>
    </row>
    <row r="260" spans="1:15" x14ac:dyDescent="0.3">
      <c r="A260" t="s">
        <v>2277</v>
      </c>
      <c r="B260" t="s">
        <v>1847</v>
      </c>
      <c r="C260" t="s">
        <v>1855</v>
      </c>
      <c r="D260">
        <v>20</v>
      </c>
      <c r="E260" t="s">
        <v>1447</v>
      </c>
      <c r="F260" t="s">
        <v>1856</v>
      </c>
      <c r="G260" t="s">
        <v>1737</v>
      </c>
      <c r="H260" t="s">
        <v>2279</v>
      </c>
      <c r="I260" t="s">
        <v>2279</v>
      </c>
      <c r="J260" t="s">
        <v>2279</v>
      </c>
      <c r="K260" t="s">
        <v>2279</v>
      </c>
      <c r="L260" t="s">
        <v>1505</v>
      </c>
      <c r="M260" t="s">
        <v>2279</v>
      </c>
      <c r="N260" t="s">
        <v>2279</v>
      </c>
      <c r="O260" s="190" t="str">
        <f>"["&amp;$C260&amp;"]["&amp;$D260&amp;"]["&amp;$F260&amp;"]"</f>
        <v>[S05_DefaultValues][20][InstallationCategory]</v>
      </c>
    </row>
    <row r="261" spans="1:15" x14ac:dyDescent="0.3">
      <c r="A261" t="s">
        <v>2277</v>
      </c>
      <c r="B261" t="s">
        <v>1847</v>
      </c>
      <c r="C261" t="s">
        <v>1855</v>
      </c>
      <c r="D261">
        <v>21</v>
      </c>
      <c r="E261" t="s">
        <v>1447</v>
      </c>
      <c r="F261" t="s">
        <v>1856</v>
      </c>
      <c r="G261" t="s">
        <v>1737</v>
      </c>
      <c r="H261" t="s">
        <v>2279</v>
      </c>
      <c r="I261" t="s">
        <v>2279</v>
      </c>
      <c r="J261" t="s">
        <v>2279</v>
      </c>
      <c r="K261" t="s">
        <v>2279</v>
      </c>
      <c r="L261" t="s">
        <v>1427</v>
      </c>
      <c r="M261" t="s">
        <v>2279</v>
      </c>
      <c r="N261" t="s">
        <v>2279</v>
      </c>
      <c r="O261" s="190" t="str">
        <f>"["&amp;$C261&amp;"]["&amp;$D261&amp;"]["&amp;$F261&amp;"]"</f>
        <v>[S05_DefaultValues][21][InstallationCategory]</v>
      </c>
    </row>
    <row r="262" spans="1:15" x14ac:dyDescent="0.3">
      <c r="A262" t="s">
        <v>2277</v>
      </c>
      <c r="B262" t="s">
        <v>1847</v>
      </c>
      <c r="C262" t="s">
        <v>1855</v>
      </c>
      <c r="D262">
        <v>22</v>
      </c>
      <c r="E262" t="s">
        <v>1447</v>
      </c>
      <c r="F262" t="s">
        <v>1856</v>
      </c>
      <c r="G262" t="s">
        <v>1737</v>
      </c>
      <c r="H262" t="s">
        <v>2279</v>
      </c>
      <c r="I262" t="s">
        <v>2279</v>
      </c>
      <c r="J262" t="s">
        <v>2279</v>
      </c>
      <c r="K262" t="s">
        <v>2279</v>
      </c>
      <c r="L262" t="s">
        <v>1505</v>
      </c>
      <c r="M262" t="s">
        <v>2279</v>
      </c>
      <c r="N262" t="s">
        <v>2279</v>
      </c>
      <c r="O262" s="190" t="str">
        <f>"["&amp;$C262&amp;"]["&amp;$D262&amp;"]["&amp;$F262&amp;"]"</f>
        <v>[S05_DefaultValues][22][InstallationCategory]</v>
      </c>
    </row>
    <row r="263" spans="1:15" x14ac:dyDescent="0.3">
      <c r="A263" t="s">
        <v>2277</v>
      </c>
      <c r="B263" t="s">
        <v>1847</v>
      </c>
      <c r="C263" t="s">
        <v>1855</v>
      </c>
      <c r="D263">
        <v>23</v>
      </c>
      <c r="E263" t="s">
        <v>1447</v>
      </c>
      <c r="F263" t="s">
        <v>1856</v>
      </c>
      <c r="G263" t="s">
        <v>1737</v>
      </c>
      <c r="H263" t="s">
        <v>2279</v>
      </c>
      <c r="I263" t="s">
        <v>2279</v>
      </c>
      <c r="J263" t="s">
        <v>2279</v>
      </c>
      <c r="K263" t="s">
        <v>2279</v>
      </c>
      <c r="L263" t="s">
        <v>1427</v>
      </c>
      <c r="M263" t="s">
        <v>2279</v>
      </c>
      <c r="N263" t="s">
        <v>2279</v>
      </c>
      <c r="O263" s="190" t="str">
        <f>"["&amp;$C263&amp;"]["&amp;$D263&amp;"]["&amp;$F263&amp;"]"</f>
        <v>[S05_DefaultValues][23][InstallationCategory]</v>
      </c>
    </row>
    <row r="264" spans="1:15" x14ac:dyDescent="0.3">
      <c r="A264" t="s">
        <v>2277</v>
      </c>
      <c r="B264" t="s">
        <v>1847</v>
      </c>
      <c r="C264" t="s">
        <v>1855</v>
      </c>
      <c r="D264">
        <v>24</v>
      </c>
      <c r="E264" t="s">
        <v>1447</v>
      </c>
      <c r="F264" t="s">
        <v>1856</v>
      </c>
      <c r="G264" t="s">
        <v>1737</v>
      </c>
      <c r="H264" t="s">
        <v>2279</v>
      </c>
      <c r="I264" t="s">
        <v>2279</v>
      </c>
      <c r="J264" t="s">
        <v>2279</v>
      </c>
      <c r="K264" t="s">
        <v>2279</v>
      </c>
      <c r="L264" t="s">
        <v>1483</v>
      </c>
      <c r="M264" t="s">
        <v>2279</v>
      </c>
      <c r="N264" t="s">
        <v>2279</v>
      </c>
      <c r="O264" s="190" t="str">
        <f>"["&amp;$C264&amp;"]["&amp;$D264&amp;"]["&amp;$F264&amp;"]"</f>
        <v>[S05_DefaultValues][24][InstallationCategory]</v>
      </c>
    </row>
    <row r="265" spans="1:15" x14ac:dyDescent="0.3">
      <c r="A265" t="s">
        <v>2277</v>
      </c>
      <c r="B265" t="s">
        <v>1847</v>
      </c>
      <c r="C265" t="s">
        <v>1855</v>
      </c>
      <c r="D265">
        <v>25</v>
      </c>
      <c r="E265" t="s">
        <v>1447</v>
      </c>
      <c r="F265" t="s">
        <v>1856</v>
      </c>
      <c r="G265" t="s">
        <v>1737</v>
      </c>
      <c r="H265" t="s">
        <v>2279</v>
      </c>
      <c r="I265" t="s">
        <v>2279</v>
      </c>
      <c r="J265" t="s">
        <v>2279</v>
      </c>
      <c r="K265" t="s">
        <v>2279</v>
      </c>
      <c r="L265" t="s">
        <v>1505</v>
      </c>
      <c r="M265" t="s">
        <v>2279</v>
      </c>
      <c r="N265" t="s">
        <v>2279</v>
      </c>
      <c r="O265" s="190" t="str">
        <f>"["&amp;$C265&amp;"]["&amp;$D265&amp;"]["&amp;$F265&amp;"]"</f>
        <v>[S05_DefaultValues][25][InstallationCategory]</v>
      </c>
    </row>
    <row r="266" spans="1:15" x14ac:dyDescent="0.3">
      <c r="A266" t="s">
        <v>2277</v>
      </c>
      <c r="B266" t="s">
        <v>1847</v>
      </c>
      <c r="C266" t="s">
        <v>1855</v>
      </c>
      <c r="D266">
        <v>26</v>
      </c>
      <c r="E266" t="s">
        <v>1447</v>
      </c>
      <c r="F266" t="s">
        <v>1856</v>
      </c>
      <c r="G266" t="s">
        <v>1737</v>
      </c>
      <c r="H266" t="s">
        <v>2279</v>
      </c>
      <c r="I266" t="s">
        <v>2279</v>
      </c>
      <c r="J266" t="s">
        <v>2279</v>
      </c>
      <c r="K266" t="s">
        <v>2279</v>
      </c>
      <c r="L266" t="s">
        <v>1505</v>
      </c>
      <c r="M266" t="s">
        <v>2279</v>
      </c>
      <c r="N266" t="s">
        <v>2279</v>
      </c>
      <c r="O266" s="190" t="str">
        <f>"["&amp;$C266&amp;"]["&amp;$D266&amp;"]["&amp;$F266&amp;"]"</f>
        <v>[S05_DefaultValues][26][InstallationCategory]</v>
      </c>
    </row>
    <row r="267" spans="1:15" x14ac:dyDescent="0.3">
      <c r="A267" t="s">
        <v>2277</v>
      </c>
      <c r="B267" t="s">
        <v>1847</v>
      </c>
      <c r="C267" t="s">
        <v>1855</v>
      </c>
      <c r="D267">
        <v>27</v>
      </c>
      <c r="E267" t="s">
        <v>1447</v>
      </c>
      <c r="F267" t="s">
        <v>1856</v>
      </c>
      <c r="G267" t="s">
        <v>1737</v>
      </c>
      <c r="H267" t="s">
        <v>2279</v>
      </c>
      <c r="I267" t="s">
        <v>2279</v>
      </c>
      <c r="J267" t="s">
        <v>2279</v>
      </c>
      <c r="K267" t="s">
        <v>2279</v>
      </c>
      <c r="L267" t="s">
        <v>1455</v>
      </c>
      <c r="M267" t="s">
        <v>2279</v>
      </c>
      <c r="N267" t="s">
        <v>2279</v>
      </c>
      <c r="O267" s="190" t="str">
        <f>"["&amp;$C267&amp;"]["&amp;$D267&amp;"]["&amp;$F267&amp;"]"</f>
        <v>[S05_DefaultValues][27][InstallationCategory]</v>
      </c>
    </row>
    <row r="268" spans="1:15" x14ac:dyDescent="0.3">
      <c r="A268" t="s">
        <v>2277</v>
      </c>
      <c r="B268" t="s">
        <v>1847</v>
      </c>
      <c r="C268" t="s">
        <v>1855</v>
      </c>
      <c r="D268">
        <v>28</v>
      </c>
      <c r="E268" t="s">
        <v>1447</v>
      </c>
      <c r="F268" t="s">
        <v>1856</v>
      </c>
      <c r="G268" t="s">
        <v>1737</v>
      </c>
      <c r="H268" t="s">
        <v>2279</v>
      </c>
      <c r="I268" t="s">
        <v>2279</v>
      </c>
      <c r="J268" t="s">
        <v>2279</v>
      </c>
      <c r="K268" t="s">
        <v>2279</v>
      </c>
      <c r="L268" t="s">
        <v>1483</v>
      </c>
      <c r="M268" t="s">
        <v>2279</v>
      </c>
      <c r="N268" t="s">
        <v>2279</v>
      </c>
      <c r="O268" s="190" t="str">
        <f>"["&amp;$C268&amp;"]["&amp;$D268&amp;"]["&amp;$F268&amp;"]"</f>
        <v>[S05_DefaultValues][28][InstallationCategory]</v>
      </c>
    </row>
    <row r="269" spans="1:15" x14ac:dyDescent="0.3">
      <c r="A269" t="s">
        <v>2277</v>
      </c>
      <c r="B269" t="s">
        <v>1847</v>
      </c>
      <c r="C269" t="s">
        <v>1855</v>
      </c>
      <c r="D269">
        <v>29</v>
      </c>
      <c r="E269" t="s">
        <v>1447</v>
      </c>
      <c r="F269" t="s">
        <v>1856</v>
      </c>
      <c r="G269" t="s">
        <v>1737</v>
      </c>
      <c r="H269" t="s">
        <v>2279</v>
      </c>
      <c r="I269" t="s">
        <v>2279</v>
      </c>
      <c r="J269" t="s">
        <v>2279</v>
      </c>
      <c r="K269" t="s">
        <v>2279</v>
      </c>
      <c r="L269" t="s">
        <v>1505</v>
      </c>
      <c r="M269" t="s">
        <v>2279</v>
      </c>
      <c r="N269" t="s">
        <v>2279</v>
      </c>
      <c r="O269" s="190" t="str">
        <f>"["&amp;$C269&amp;"]["&amp;$D269&amp;"]["&amp;$F269&amp;"]"</f>
        <v>[S05_DefaultValues][29][InstallationCategory]</v>
      </c>
    </row>
    <row r="270" spans="1:15" x14ac:dyDescent="0.3">
      <c r="A270" t="s">
        <v>2277</v>
      </c>
      <c r="B270" t="s">
        <v>1847</v>
      </c>
      <c r="C270" t="s">
        <v>1855</v>
      </c>
      <c r="D270">
        <v>30</v>
      </c>
      <c r="E270" t="s">
        <v>1447</v>
      </c>
      <c r="F270" t="s">
        <v>1856</v>
      </c>
      <c r="G270" t="s">
        <v>1737</v>
      </c>
      <c r="H270" t="s">
        <v>2279</v>
      </c>
      <c r="I270" t="s">
        <v>2279</v>
      </c>
      <c r="J270" t="s">
        <v>2279</v>
      </c>
      <c r="K270" t="s">
        <v>2279</v>
      </c>
      <c r="L270" t="s">
        <v>1427</v>
      </c>
      <c r="M270" t="s">
        <v>2279</v>
      </c>
      <c r="N270" t="s">
        <v>2279</v>
      </c>
      <c r="O270" s="190" t="str">
        <f>"["&amp;$C270&amp;"]["&amp;$D270&amp;"]["&amp;$F270&amp;"]"</f>
        <v>[S05_DefaultValues][30][InstallationCategory]</v>
      </c>
    </row>
    <row r="271" spans="1:15" x14ac:dyDescent="0.3">
      <c r="A271" t="s">
        <v>2277</v>
      </c>
      <c r="B271" t="s">
        <v>1847</v>
      </c>
      <c r="C271" t="s">
        <v>1855</v>
      </c>
      <c r="D271">
        <v>31</v>
      </c>
      <c r="E271" t="s">
        <v>1447</v>
      </c>
      <c r="F271" t="s">
        <v>1856</v>
      </c>
      <c r="G271" t="s">
        <v>1737</v>
      </c>
      <c r="H271" t="s">
        <v>2279</v>
      </c>
      <c r="I271" t="s">
        <v>2279</v>
      </c>
      <c r="J271" t="s">
        <v>2279</v>
      </c>
      <c r="K271" t="s">
        <v>2279</v>
      </c>
      <c r="L271" t="s">
        <v>1455</v>
      </c>
      <c r="M271" t="s">
        <v>2279</v>
      </c>
      <c r="N271" t="s">
        <v>2279</v>
      </c>
      <c r="O271" s="190" t="str">
        <f>"["&amp;$C271&amp;"]["&amp;$D271&amp;"]["&amp;$F271&amp;"]"</f>
        <v>[S05_DefaultValues][31][InstallationCategory]</v>
      </c>
    </row>
    <row r="272" spans="1:15" x14ac:dyDescent="0.3">
      <c r="A272" t="s">
        <v>2277</v>
      </c>
      <c r="B272" t="s">
        <v>1847</v>
      </c>
      <c r="C272" t="s">
        <v>1855</v>
      </c>
      <c r="D272">
        <v>32</v>
      </c>
      <c r="E272" t="s">
        <v>1447</v>
      </c>
      <c r="F272" t="s">
        <v>1856</v>
      </c>
      <c r="G272" t="s">
        <v>1737</v>
      </c>
      <c r="H272" t="s">
        <v>2279</v>
      </c>
      <c r="I272" t="s">
        <v>2279</v>
      </c>
      <c r="J272" t="s">
        <v>2279</v>
      </c>
      <c r="K272" t="s">
        <v>2279</v>
      </c>
      <c r="L272" t="s">
        <v>1483</v>
      </c>
      <c r="M272" t="s">
        <v>2279</v>
      </c>
      <c r="N272" t="s">
        <v>2279</v>
      </c>
      <c r="O272" s="190" t="str">
        <f>"["&amp;$C272&amp;"]["&amp;$D272&amp;"]["&amp;$F272&amp;"]"</f>
        <v>[S05_DefaultValues][32][InstallationCategory]</v>
      </c>
    </row>
    <row r="273" spans="1:15" x14ac:dyDescent="0.3">
      <c r="A273" t="s">
        <v>2277</v>
      </c>
      <c r="B273" t="s">
        <v>1847</v>
      </c>
      <c r="C273" t="s">
        <v>1855</v>
      </c>
      <c r="D273">
        <v>33</v>
      </c>
      <c r="E273" t="s">
        <v>1447</v>
      </c>
      <c r="F273" t="s">
        <v>1856</v>
      </c>
      <c r="G273" t="s">
        <v>1737</v>
      </c>
      <c r="H273" t="s">
        <v>2279</v>
      </c>
      <c r="I273" t="s">
        <v>2279</v>
      </c>
      <c r="J273" t="s">
        <v>2279</v>
      </c>
      <c r="K273" t="s">
        <v>2279</v>
      </c>
      <c r="L273" t="s">
        <v>1505</v>
      </c>
      <c r="M273" t="s">
        <v>2279</v>
      </c>
      <c r="N273" t="s">
        <v>2279</v>
      </c>
      <c r="O273" s="190" t="str">
        <f>"["&amp;$C273&amp;"]["&amp;$D273&amp;"]["&amp;$F273&amp;"]"</f>
        <v>[S05_DefaultValues][33][InstallationCategory]</v>
      </c>
    </row>
    <row r="274" spans="1:15" x14ac:dyDescent="0.3">
      <c r="A274" t="s">
        <v>2277</v>
      </c>
      <c r="B274" t="s">
        <v>1847</v>
      </c>
      <c r="C274" t="s">
        <v>1855</v>
      </c>
      <c r="D274">
        <v>34</v>
      </c>
      <c r="E274" t="s">
        <v>1447</v>
      </c>
      <c r="F274" t="s">
        <v>1856</v>
      </c>
      <c r="G274" t="s">
        <v>1737</v>
      </c>
      <c r="H274" t="s">
        <v>2279</v>
      </c>
      <c r="I274" t="s">
        <v>2279</v>
      </c>
      <c r="J274" t="s">
        <v>2279</v>
      </c>
      <c r="K274" t="s">
        <v>2279</v>
      </c>
      <c r="L274" t="s">
        <v>1427</v>
      </c>
      <c r="M274" t="s">
        <v>2279</v>
      </c>
      <c r="N274" t="s">
        <v>2279</v>
      </c>
      <c r="O274" s="190" t="str">
        <f>"["&amp;$C274&amp;"]["&amp;$D274&amp;"]["&amp;$F274&amp;"]"</f>
        <v>[S05_DefaultValues][34][InstallationCategory]</v>
      </c>
    </row>
    <row r="275" spans="1:15" x14ac:dyDescent="0.3">
      <c r="A275" t="s">
        <v>2277</v>
      </c>
      <c r="B275" t="s">
        <v>1847</v>
      </c>
      <c r="C275" t="s">
        <v>1855</v>
      </c>
      <c r="D275">
        <v>35</v>
      </c>
      <c r="E275" t="s">
        <v>1447</v>
      </c>
      <c r="F275" t="s">
        <v>1856</v>
      </c>
      <c r="G275" t="s">
        <v>1737</v>
      </c>
      <c r="H275" t="s">
        <v>2279</v>
      </c>
      <c r="I275" t="s">
        <v>2279</v>
      </c>
      <c r="J275" t="s">
        <v>2279</v>
      </c>
      <c r="K275" t="s">
        <v>2279</v>
      </c>
      <c r="L275" t="s">
        <v>1455</v>
      </c>
      <c r="M275" t="s">
        <v>2279</v>
      </c>
      <c r="N275" t="s">
        <v>2279</v>
      </c>
      <c r="O275" s="190" t="str">
        <f>"["&amp;$C275&amp;"]["&amp;$D275&amp;"]["&amp;$F275&amp;"]"</f>
        <v>[S05_DefaultValues][35][InstallationCategory]</v>
      </c>
    </row>
    <row r="276" spans="1:15" x14ac:dyDescent="0.3">
      <c r="A276" t="s">
        <v>2277</v>
      </c>
      <c r="B276" t="s">
        <v>1847</v>
      </c>
      <c r="C276" t="s">
        <v>1855</v>
      </c>
      <c r="D276">
        <v>36</v>
      </c>
      <c r="E276" t="s">
        <v>1447</v>
      </c>
      <c r="F276" t="s">
        <v>1856</v>
      </c>
      <c r="G276" t="s">
        <v>1737</v>
      </c>
      <c r="H276" t="s">
        <v>2279</v>
      </c>
      <c r="I276" t="s">
        <v>2279</v>
      </c>
      <c r="J276" t="s">
        <v>2279</v>
      </c>
      <c r="K276" t="s">
        <v>2279</v>
      </c>
      <c r="L276" t="s">
        <v>1483</v>
      </c>
      <c r="M276" t="s">
        <v>2279</v>
      </c>
      <c r="N276" t="s">
        <v>2279</v>
      </c>
      <c r="O276" s="190" t="str">
        <f>"["&amp;$C276&amp;"]["&amp;$D276&amp;"]["&amp;$F276&amp;"]"</f>
        <v>[S05_DefaultValues][36][InstallationCategory]</v>
      </c>
    </row>
    <row r="277" spans="1:15" x14ac:dyDescent="0.3">
      <c r="A277" t="s">
        <v>2277</v>
      </c>
      <c r="B277" t="s">
        <v>1847</v>
      </c>
      <c r="C277" t="s">
        <v>1855</v>
      </c>
      <c r="D277">
        <v>37</v>
      </c>
      <c r="E277" t="s">
        <v>1447</v>
      </c>
      <c r="F277" t="s">
        <v>1856</v>
      </c>
      <c r="G277" t="s">
        <v>1737</v>
      </c>
      <c r="H277" t="s">
        <v>2279</v>
      </c>
      <c r="I277" t="s">
        <v>2279</v>
      </c>
      <c r="J277" t="s">
        <v>2279</v>
      </c>
      <c r="K277" t="s">
        <v>2279</v>
      </c>
      <c r="L277" t="s">
        <v>1427</v>
      </c>
      <c r="M277" t="s">
        <v>2279</v>
      </c>
      <c r="N277" t="s">
        <v>2279</v>
      </c>
      <c r="O277" s="190" t="str">
        <f>"["&amp;$C277&amp;"]["&amp;$D277&amp;"]["&amp;$F277&amp;"]"</f>
        <v>[S05_DefaultValues][37][InstallationCategory]</v>
      </c>
    </row>
    <row r="278" spans="1:15" x14ac:dyDescent="0.3">
      <c r="A278" t="s">
        <v>2277</v>
      </c>
      <c r="B278" t="s">
        <v>1847</v>
      </c>
      <c r="C278" t="s">
        <v>1855</v>
      </c>
      <c r="D278">
        <v>38</v>
      </c>
      <c r="E278" t="s">
        <v>1447</v>
      </c>
      <c r="F278" t="s">
        <v>1856</v>
      </c>
      <c r="G278" t="s">
        <v>1737</v>
      </c>
      <c r="H278" t="s">
        <v>2279</v>
      </c>
      <c r="I278" t="s">
        <v>2279</v>
      </c>
      <c r="J278" t="s">
        <v>2279</v>
      </c>
      <c r="K278" t="s">
        <v>2279</v>
      </c>
      <c r="L278" t="s">
        <v>1455</v>
      </c>
      <c r="M278" t="s">
        <v>2279</v>
      </c>
      <c r="N278" t="s">
        <v>2279</v>
      </c>
      <c r="O278" s="190" t="str">
        <f>"["&amp;$C278&amp;"]["&amp;$D278&amp;"]["&amp;$F278&amp;"]"</f>
        <v>[S05_DefaultValues][38][InstallationCategory]</v>
      </c>
    </row>
    <row r="279" spans="1:15" x14ac:dyDescent="0.3">
      <c r="A279" t="s">
        <v>2277</v>
      </c>
      <c r="B279" t="s">
        <v>1847</v>
      </c>
      <c r="C279" t="s">
        <v>1855</v>
      </c>
      <c r="D279">
        <v>39</v>
      </c>
      <c r="E279" t="s">
        <v>1447</v>
      </c>
      <c r="F279" t="s">
        <v>1856</v>
      </c>
      <c r="G279" t="s">
        <v>1737</v>
      </c>
      <c r="H279" t="s">
        <v>2279</v>
      </c>
      <c r="I279" t="s">
        <v>2279</v>
      </c>
      <c r="J279" t="s">
        <v>2279</v>
      </c>
      <c r="K279" t="s">
        <v>2279</v>
      </c>
      <c r="L279" t="s">
        <v>1455</v>
      </c>
      <c r="M279" t="s">
        <v>2279</v>
      </c>
      <c r="N279" t="s">
        <v>2279</v>
      </c>
      <c r="O279" s="190" t="str">
        <f>"["&amp;$C279&amp;"]["&amp;$D279&amp;"]["&amp;$F279&amp;"]"</f>
        <v>[S05_DefaultValues][39][InstallationCategory]</v>
      </c>
    </row>
    <row r="280" spans="1:15" x14ac:dyDescent="0.3">
      <c r="A280" t="s">
        <v>2277</v>
      </c>
      <c r="B280" t="s">
        <v>1847</v>
      </c>
      <c r="C280" t="s">
        <v>1855</v>
      </c>
      <c r="D280">
        <v>40</v>
      </c>
      <c r="E280" t="s">
        <v>1447</v>
      </c>
      <c r="F280" t="s">
        <v>1856</v>
      </c>
      <c r="G280" t="s">
        <v>1737</v>
      </c>
      <c r="H280" t="s">
        <v>2279</v>
      </c>
      <c r="I280" t="s">
        <v>2279</v>
      </c>
      <c r="J280" t="s">
        <v>2279</v>
      </c>
      <c r="K280" t="s">
        <v>2279</v>
      </c>
      <c r="L280" t="s">
        <v>1505</v>
      </c>
      <c r="M280" t="s">
        <v>2279</v>
      </c>
      <c r="N280" t="s">
        <v>2279</v>
      </c>
      <c r="O280" s="190" t="str">
        <f>"["&amp;$C280&amp;"]["&amp;$D280&amp;"]["&amp;$F280&amp;"]"</f>
        <v>[S05_DefaultValues][40][InstallationCategory]</v>
      </c>
    </row>
    <row r="281" spans="1:15" x14ac:dyDescent="0.3">
      <c r="A281" t="s">
        <v>2277</v>
      </c>
      <c r="B281" t="s">
        <v>1847</v>
      </c>
      <c r="C281" t="s">
        <v>1855</v>
      </c>
      <c r="D281">
        <v>41</v>
      </c>
      <c r="E281" t="s">
        <v>1447</v>
      </c>
      <c r="F281" t="s">
        <v>1856</v>
      </c>
      <c r="G281" t="s">
        <v>1737</v>
      </c>
      <c r="H281" t="s">
        <v>2279</v>
      </c>
      <c r="I281" t="s">
        <v>2279</v>
      </c>
      <c r="J281" t="s">
        <v>2279</v>
      </c>
      <c r="K281" t="s">
        <v>2279</v>
      </c>
      <c r="L281" t="s">
        <v>1427</v>
      </c>
      <c r="M281" t="s">
        <v>2279</v>
      </c>
      <c r="N281" t="s">
        <v>2279</v>
      </c>
      <c r="O281" s="190" t="str">
        <f>"["&amp;$C281&amp;"]["&amp;$D281&amp;"]["&amp;$F281&amp;"]"</f>
        <v>[S05_DefaultValues][41][InstallationCategory]</v>
      </c>
    </row>
    <row r="282" spans="1:15" x14ac:dyDescent="0.3">
      <c r="A282" t="s">
        <v>2277</v>
      </c>
      <c r="B282" t="s">
        <v>1847</v>
      </c>
      <c r="C282" t="s">
        <v>1855</v>
      </c>
      <c r="D282">
        <v>42</v>
      </c>
      <c r="E282" t="s">
        <v>1447</v>
      </c>
      <c r="F282" t="s">
        <v>1856</v>
      </c>
      <c r="G282" t="s">
        <v>1737</v>
      </c>
      <c r="H282" t="s">
        <v>2279</v>
      </c>
      <c r="I282" t="s">
        <v>2279</v>
      </c>
      <c r="J282" t="s">
        <v>2279</v>
      </c>
      <c r="K282" t="s">
        <v>2279</v>
      </c>
      <c r="L282" t="s">
        <v>1455</v>
      </c>
      <c r="M282" t="s">
        <v>2279</v>
      </c>
      <c r="N282" t="s">
        <v>2279</v>
      </c>
      <c r="O282" s="190" t="str">
        <f>"["&amp;$C282&amp;"]["&amp;$D282&amp;"]["&amp;$F282&amp;"]"</f>
        <v>[S05_DefaultValues][42][InstallationCategory]</v>
      </c>
    </row>
    <row r="283" spans="1:15" x14ac:dyDescent="0.3">
      <c r="A283" t="s">
        <v>2277</v>
      </c>
      <c r="B283" t="s">
        <v>1847</v>
      </c>
      <c r="C283" t="s">
        <v>1855</v>
      </c>
      <c r="D283">
        <v>43</v>
      </c>
      <c r="E283" t="s">
        <v>1447</v>
      </c>
      <c r="F283" t="s">
        <v>1856</v>
      </c>
      <c r="G283" t="s">
        <v>1737</v>
      </c>
      <c r="H283" t="s">
        <v>2279</v>
      </c>
      <c r="I283" t="s">
        <v>2279</v>
      </c>
      <c r="J283" t="s">
        <v>2279</v>
      </c>
      <c r="K283" t="s">
        <v>2279</v>
      </c>
      <c r="L283" t="s">
        <v>1483</v>
      </c>
      <c r="M283" t="s">
        <v>2279</v>
      </c>
      <c r="N283" t="s">
        <v>2279</v>
      </c>
      <c r="O283" s="190" t="str">
        <f>"["&amp;$C283&amp;"]["&amp;$D283&amp;"]["&amp;$F283&amp;"]"</f>
        <v>[S05_DefaultValues][43][InstallationCategory]</v>
      </c>
    </row>
    <row r="284" spans="1:15" x14ac:dyDescent="0.3">
      <c r="A284" t="s">
        <v>2277</v>
      </c>
      <c r="B284" t="s">
        <v>1847</v>
      </c>
      <c r="C284" t="s">
        <v>1855</v>
      </c>
      <c r="D284">
        <v>44</v>
      </c>
      <c r="E284" t="s">
        <v>1447</v>
      </c>
      <c r="F284" t="s">
        <v>1856</v>
      </c>
      <c r="G284" t="s">
        <v>1737</v>
      </c>
      <c r="H284" t="s">
        <v>2279</v>
      </c>
      <c r="I284" t="s">
        <v>2279</v>
      </c>
      <c r="J284" t="s">
        <v>2279</v>
      </c>
      <c r="K284" t="s">
        <v>2279</v>
      </c>
      <c r="L284" t="s">
        <v>1505</v>
      </c>
      <c r="M284" t="s">
        <v>2279</v>
      </c>
      <c r="N284" t="s">
        <v>2279</v>
      </c>
      <c r="O284" s="190" t="str">
        <f>"["&amp;$C284&amp;"]["&amp;$D284&amp;"]["&amp;$F284&amp;"]"</f>
        <v>[S05_DefaultValues][44][InstallationCategory]</v>
      </c>
    </row>
    <row r="285" spans="1:15" x14ac:dyDescent="0.3">
      <c r="A285" t="s">
        <v>2277</v>
      </c>
      <c r="B285" t="s">
        <v>1847</v>
      </c>
      <c r="C285" t="s">
        <v>1855</v>
      </c>
      <c r="D285">
        <v>45</v>
      </c>
      <c r="E285" t="s">
        <v>1447</v>
      </c>
      <c r="F285" t="s">
        <v>1856</v>
      </c>
      <c r="G285" t="s">
        <v>1737</v>
      </c>
      <c r="H285" t="s">
        <v>2279</v>
      </c>
      <c r="I285" t="s">
        <v>2279</v>
      </c>
      <c r="J285" t="s">
        <v>2279</v>
      </c>
      <c r="K285" t="s">
        <v>2279</v>
      </c>
      <c r="L285" t="s">
        <v>1483</v>
      </c>
      <c r="M285" t="s">
        <v>2279</v>
      </c>
      <c r="N285" t="s">
        <v>2279</v>
      </c>
      <c r="O285" s="190" t="str">
        <f>"["&amp;$C285&amp;"]["&amp;$D285&amp;"]["&amp;$F285&amp;"]"</f>
        <v>[S05_DefaultValues][45][InstallationCategory]</v>
      </c>
    </row>
    <row r="286" spans="1:15" x14ac:dyDescent="0.3">
      <c r="A286" t="s">
        <v>2277</v>
      </c>
      <c r="B286" t="s">
        <v>1847</v>
      </c>
      <c r="C286" t="s">
        <v>1855</v>
      </c>
      <c r="D286">
        <v>46</v>
      </c>
      <c r="E286" t="s">
        <v>1447</v>
      </c>
      <c r="F286" t="s">
        <v>1856</v>
      </c>
      <c r="G286" t="s">
        <v>1737</v>
      </c>
      <c r="H286" t="s">
        <v>2279</v>
      </c>
      <c r="I286" t="s">
        <v>2279</v>
      </c>
      <c r="J286" t="s">
        <v>2279</v>
      </c>
      <c r="K286" t="s">
        <v>2279</v>
      </c>
      <c r="L286" t="s">
        <v>1505</v>
      </c>
      <c r="M286" t="s">
        <v>2279</v>
      </c>
      <c r="N286" t="s">
        <v>2279</v>
      </c>
      <c r="O286" s="190" t="str">
        <f>"["&amp;$C286&amp;"]["&amp;$D286&amp;"]["&amp;$F286&amp;"]"</f>
        <v>[S05_DefaultValues][46][InstallationCategory]</v>
      </c>
    </row>
    <row r="287" spans="1:15" x14ac:dyDescent="0.3">
      <c r="A287" t="s">
        <v>2277</v>
      </c>
      <c r="B287" t="s">
        <v>1847</v>
      </c>
      <c r="C287" t="s">
        <v>1855</v>
      </c>
      <c r="D287">
        <v>47</v>
      </c>
      <c r="E287" t="s">
        <v>1447</v>
      </c>
      <c r="F287" t="s">
        <v>1856</v>
      </c>
      <c r="G287" t="s">
        <v>1737</v>
      </c>
      <c r="H287" t="s">
        <v>2279</v>
      </c>
      <c r="I287" t="s">
        <v>2279</v>
      </c>
      <c r="J287" t="s">
        <v>2279</v>
      </c>
      <c r="K287" t="s">
        <v>2279</v>
      </c>
      <c r="L287" t="s">
        <v>1427</v>
      </c>
      <c r="M287" t="s">
        <v>2279</v>
      </c>
      <c r="N287" t="s">
        <v>2279</v>
      </c>
      <c r="O287" s="190" t="str">
        <f>"["&amp;$C287&amp;"]["&amp;$D287&amp;"]["&amp;$F287&amp;"]"</f>
        <v>[S05_DefaultValues][47][InstallationCategory]</v>
      </c>
    </row>
    <row r="288" spans="1:15" x14ac:dyDescent="0.3">
      <c r="A288" t="s">
        <v>2277</v>
      </c>
      <c r="B288" t="s">
        <v>1847</v>
      </c>
      <c r="C288" t="s">
        <v>1855</v>
      </c>
      <c r="D288">
        <v>48</v>
      </c>
      <c r="E288" t="s">
        <v>1447</v>
      </c>
      <c r="F288" t="s">
        <v>1856</v>
      </c>
      <c r="G288" t="s">
        <v>1737</v>
      </c>
      <c r="H288" t="s">
        <v>2279</v>
      </c>
      <c r="I288" t="s">
        <v>2279</v>
      </c>
      <c r="J288" t="s">
        <v>2279</v>
      </c>
      <c r="K288" t="s">
        <v>2279</v>
      </c>
      <c r="L288" t="s">
        <v>1455</v>
      </c>
      <c r="M288" t="s">
        <v>2279</v>
      </c>
      <c r="N288" t="s">
        <v>2279</v>
      </c>
      <c r="O288" s="190" t="str">
        <f>"["&amp;$C288&amp;"]["&amp;$D288&amp;"]["&amp;$F288&amp;"]"</f>
        <v>[S05_DefaultValues][48][InstallationCategory]</v>
      </c>
    </row>
    <row r="289" spans="1:15" x14ac:dyDescent="0.3">
      <c r="A289" t="s">
        <v>2277</v>
      </c>
      <c r="B289" t="s">
        <v>1847</v>
      </c>
      <c r="C289" t="s">
        <v>1855</v>
      </c>
      <c r="D289">
        <v>49</v>
      </c>
      <c r="E289" t="s">
        <v>1447</v>
      </c>
      <c r="F289" t="s">
        <v>1856</v>
      </c>
      <c r="G289" t="s">
        <v>1737</v>
      </c>
      <c r="H289" t="s">
        <v>2279</v>
      </c>
      <c r="I289" t="s">
        <v>2279</v>
      </c>
      <c r="J289" t="s">
        <v>2279</v>
      </c>
      <c r="K289" t="s">
        <v>2279</v>
      </c>
      <c r="L289" t="s">
        <v>1483</v>
      </c>
      <c r="M289" t="s">
        <v>2279</v>
      </c>
      <c r="N289" t="s">
        <v>2279</v>
      </c>
      <c r="O289" s="190" t="str">
        <f>"["&amp;$C289&amp;"]["&amp;$D289&amp;"]["&amp;$F289&amp;"]"</f>
        <v>[S05_DefaultValues][49][InstallationCategory]</v>
      </c>
    </row>
    <row r="290" spans="1:15" x14ac:dyDescent="0.3">
      <c r="A290" t="s">
        <v>2277</v>
      </c>
      <c r="B290" t="s">
        <v>1847</v>
      </c>
      <c r="C290" t="s">
        <v>1855</v>
      </c>
      <c r="D290">
        <v>50</v>
      </c>
      <c r="E290" t="s">
        <v>1447</v>
      </c>
      <c r="F290" t="s">
        <v>1856</v>
      </c>
      <c r="G290" t="s">
        <v>1737</v>
      </c>
      <c r="H290" t="s">
        <v>2279</v>
      </c>
      <c r="I290" t="s">
        <v>2279</v>
      </c>
      <c r="J290" t="s">
        <v>2279</v>
      </c>
      <c r="K290" t="s">
        <v>2279</v>
      </c>
      <c r="L290" t="s">
        <v>1505</v>
      </c>
      <c r="M290" t="s">
        <v>2279</v>
      </c>
      <c r="N290" t="s">
        <v>2279</v>
      </c>
      <c r="O290" s="190" t="str">
        <f>"["&amp;$C290&amp;"]["&amp;$D290&amp;"]["&amp;$F290&amp;"]"</f>
        <v>[S05_DefaultValues][50][InstallationCategory]</v>
      </c>
    </row>
    <row r="291" spans="1:15" x14ac:dyDescent="0.3">
      <c r="A291" t="s">
        <v>2277</v>
      </c>
      <c r="B291" t="s">
        <v>1847</v>
      </c>
      <c r="C291" t="s">
        <v>1855</v>
      </c>
      <c r="D291">
        <v>51</v>
      </c>
      <c r="E291" t="s">
        <v>1447</v>
      </c>
      <c r="F291" t="s">
        <v>1856</v>
      </c>
      <c r="G291" t="s">
        <v>1737</v>
      </c>
      <c r="H291" t="s">
        <v>2279</v>
      </c>
      <c r="I291" t="s">
        <v>2279</v>
      </c>
      <c r="J291" t="s">
        <v>2279</v>
      </c>
      <c r="K291" t="s">
        <v>2279</v>
      </c>
      <c r="L291" t="s">
        <v>1455</v>
      </c>
      <c r="M291" t="s">
        <v>2279</v>
      </c>
      <c r="N291" t="s">
        <v>2279</v>
      </c>
      <c r="O291" s="190" t="str">
        <f>"["&amp;$C291&amp;"]["&amp;$D291&amp;"]["&amp;$F291&amp;"]"</f>
        <v>[S05_DefaultValues][51][InstallationCategory]</v>
      </c>
    </row>
    <row r="292" spans="1:15" x14ac:dyDescent="0.3">
      <c r="A292" t="s">
        <v>2277</v>
      </c>
      <c r="B292" t="s">
        <v>1847</v>
      </c>
      <c r="C292" t="s">
        <v>1855</v>
      </c>
      <c r="D292">
        <v>52</v>
      </c>
      <c r="E292" t="s">
        <v>1447</v>
      </c>
      <c r="F292" t="s">
        <v>1856</v>
      </c>
      <c r="G292" t="s">
        <v>1737</v>
      </c>
      <c r="H292" t="s">
        <v>2279</v>
      </c>
      <c r="I292" t="s">
        <v>2279</v>
      </c>
      <c r="J292" t="s">
        <v>2279</v>
      </c>
      <c r="K292" t="s">
        <v>2279</v>
      </c>
      <c r="L292" t="s">
        <v>1483</v>
      </c>
      <c r="M292" t="s">
        <v>2279</v>
      </c>
      <c r="N292" t="s">
        <v>2279</v>
      </c>
      <c r="O292" s="190" t="str">
        <f>"["&amp;$C292&amp;"]["&amp;$D292&amp;"]["&amp;$F292&amp;"]"</f>
        <v>[S05_DefaultValues][52][InstallationCategory]</v>
      </c>
    </row>
    <row r="293" spans="1:15" x14ac:dyDescent="0.3">
      <c r="A293" t="s">
        <v>2277</v>
      </c>
      <c r="B293" t="s">
        <v>1847</v>
      </c>
      <c r="C293" t="s">
        <v>1855</v>
      </c>
      <c r="D293">
        <v>53</v>
      </c>
      <c r="E293" t="s">
        <v>1447</v>
      </c>
      <c r="F293" t="s">
        <v>1856</v>
      </c>
      <c r="G293" t="s">
        <v>1737</v>
      </c>
      <c r="H293" t="s">
        <v>2279</v>
      </c>
      <c r="I293" t="s">
        <v>2279</v>
      </c>
      <c r="J293" t="s">
        <v>2279</v>
      </c>
      <c r="K293" t="s">
        <v>2279</v>
      </c>
      <c r="L293" t="s">
        <v>1483</v>
      </c>
      <c r="M293" t="s">
        <v>2279</v>
      </c>
      <c r="N293" t="s">
        <v>2279</v>
      </c>
      <c r="O293" s="190" t="str">
        <f>"["&amp;$C293&amp;"]["&amp;$D293&amp;"]["&amp;$F293&amp;"]"</f>
        <v>[S05_DefaultValues][53][InstallationCategory]</v>
      </c>
    </row>
    <row r="294" spans="1:15" x14ac:dyDescent="0.3">
      <c r="A294" t="s">
        <v>2277</v>
      </c>
      <c r="B294" t="s">
        <v>1847</v>
      </c>
      <c r="C294" t="s">
        <v>1855</v>
      </c>
      <c r="D294">
        <v>54</v>
      </c>
      <c r="E294" t="s">
        <v>1447</v>
      </c>
      <c r="F294" t="s">
        <v>1856</v>
      </c>
      <c r="G294" t="s">
        <v>1737</v>
      </c>
      <c r="H294" t="s">
        <v>2279</v>
      </c>
      <c r="I294" t="s">
        <v>2279</v>
      </c>
      <c r="J294" t="s">
        <v>2279</v>
      </c>
      <c r="K294" t="s">
        <v>2279</v>
      </c>
      <c r="L294" t="s">
        <v>1505</v>
      </c>
      <c r="M294" t="s">
        <v>2279</v>
      </c>
      <c r="N294" t="s">
        <v>2279</v>
      </c>
      <c r="O294" s="190" t="str">
        <f>"["&amp;$C294&amp;"]["&amp;$D294&amp;"]["&amp;$F294&amp;"]"</f>
        <v>[S05_DefaultValues][54][InstallationCategory]</v>
      </c>
    </row>
    <row r="295" spans="1:15" x14ac:dyDescent="0.3">
      <c r="A295" t="s">
        <v>2277</v>
      </c>
      <c r="B295" t="s">
        <v>1847</v>
      </c>
      <c r="C295" t="s">
        <v>1855</v>
      </c>
      <c r="D295">
        <v>55</v>
      </c>
      <c r="E295" t="s">
        <v>1447</v>
      </c>
      <c r="F295" t="s">
        <v>1856</v>
      </c>
      <c r="G295" t="s">
        <v>1737</v>
      </c>
      <c r="H295" t="s">
        <v>2279</v>
      </c>
      <c r="I295" t="s">
        <v>2279</v>
      </c>
      <c r="J295" t="s">
        <v>2279</v>
      </c>
      <c r="K295" t="s">
        <v>2279</v>
      </c>
      <c r="L295" t="s">
        <v>1427</v>
      </c>
      <c r="M295" t="s">
        <v>2279</v>
      </c>
      <c r="N295" t="s">
        <v>2279</v>
      </c>
      <c r="O295" s="190" t="str">
        <f>"["&amp;$C295&amp;"]["&amp;$D295&amp;"]["&amp;$F295&amp;"]"</f>
        <v>[S05_DefaultValues][55][InstallationCategory]</v>
      </c>
    </row>
    <row r="296" spans="1:15" x14ac:dyDescent="0.3">
      <c r="A296" t="s">
        <v>2277</v>
      </c>
      <c r="B296" t="s">
        <v>1847</v>
      </c>
      <c r="C296" t="s">
        <v>1855</v>
      </c>
      <c r="D296">
        <v>56</v>
      </c>
      <c r="E296" t="s">
        <v>1447</v>
      </c>
      <c r="F296" t="s">
        <v>1856</v>
      </c>
      <c r="G296" t="s">
        <v>1737</v>
      </c>
      <c r="H296" t="s">
        <v>2279</v>
      </c>
      <c r="I296" t="s">
        <v>2279</v>
      </c>
      <c r="J296" t="s">
        <v>2279</v>
      </c>
      <c r="K296" t="s">
        <v>2279</v>
      </c>
      <c r="L296" t="s">
        <v>1455</v>
      </c>
      <c r="M296" t="s">
        <v>2279</v>
      </c>
      <c r="N296" t="s">
        <v>2279</v>
      </c>
      <c r="O296" s="190" t="str">
        <f>"["&amp;$C296&amp;"]["&amp;$D296&amp;"]["&amp;$F296&amp;"]"</f>
        <v>[S05_DefaultValues][56][InstallationCategory]</v>
      </c>
    </row>
    <row r="297" spans="1:15" x14ac:dyDescent="0.3">
      <c r="A297" t="s">
        <v>2277</v>
      </c>
      <c r="B297" t="s">
        <v>1847</v>
      </c>
      <c r="C297" t="s">
        <v>1855</v>
      </c>
      <c r="D297">
        <v>57</v>
      </c>
      <c r="E297" t="s">
        <v>1447</v>
      </c>
      <c r="F297" t="s">
        <v>1856</v>
      </c>
      <c r="G297" t="s">
        <v>1737</v>
      </c>
      <c r="H297" t="s">
        <v>2279</v>
      </c>
      <c r="I297" t="s">
        <v>2279</v>
      </c>
      <c r="J297" t="s">
        <v>2279</v>
      </c>
      <c r="K297" t="s">
        <v>2279</v>
      </c>
      <c r="L297" t="s">
        <v>1483</v>
      </c>
      <c r="M297" t="s">
        <v>2279</v>
      </c>
      <c r="N297" t="s">
        <v>2279</v>
      </c>
      <c r="O297" s="190" t="str">
        <f>"["&amp;$C297&amp;"]["&amp;$D297&amp;"]["&amp;$F297&amp;"]"</f>
        <v>[S05_DefaultValues][57][InstallationCategory]</v>
      </c>
    </row>
    <row r="298" spans="1:15" x14ac:dyDescent="0.3">
      <c r="A298" t="s">
        <v>2277</v>
      </c>
      <c r="B298" t="s">
        <v>1847</v>
      </c>
      <c r="C298" t="s">
        <v>1855</v>
      </c>
      <c r="D298">
        <v>58</v>
      </c>
      <c r="E298" t="s">
        <v>1447</v>
      </c>
      <c r="F298" t="s">
        <v>1856</v>
      </c>
      <c r="G298" t="s">
        <v>1737</v>
      </c>
      <c r="H298" t="s">
        <v>2279</v>
      </c>
      <c r="I298" t="s">
        <v>2279</v>
      </c>
      <c r="J298" t="s">
        <v>2279</v>
      </c>
      <c r="K298" t="s">
        <v>2279</v>
      </c>
      <c r="L298" t="s">
        <v>1505</v>
      </c>
      <c r="M298" t="s">
        <v>2279</v>
      </c>
      <c r="N298" t="s">
        <v>2279</v>
      </c>
      <c r="O298" s="190" t="str">
        <f>"["&amp;$C298&amp;"]["&amp;$D298&amp;"]["&amp;$F298&amp;"]"</f>
        <v>[S05_DefaultValues][58][InstallationCategory]</v>
      </c>
    </row>
    <row r="299" spans="1:15" x14ac:dyDescent="0.3">
      <c r="A299" t="s">
        <v>2277</v>
      </c>
      <c r="B299" t="s">
        <v>1847</v>
      </c>
      <c r="C299" t="s">
        <v>1855</v>
      </c>
      <c r="D299">
        <v>59</v>
      </c>
      <c r="E299" t="s">
        <v>1447</v>
      </c>
      <c r="F299" t="s">
        <v>1856</v>
      </c>
      <c r="G299" t="s">
        <v>1737</v>
      </c>
      <c r="H299" t="s">
        <v>2279</v>
      </c>
      <c r="I299" t="s">
        <v>2279</v>
      </c>
      <c r="J299" t="s">
        <v>2279</v>
      </c>
      <c r="K299" t="s">
        <v>2279</v>
      </c>
      <c r="L299" t="s">
        <v>1427</v>
      </c>
      <c r="M299" t="s">
        <v>2279</v>
      </c>
      <c r="N299" t="s">
        <v>2279</v>
      </c>
      <c r="O299" s="190" t="str">
        <f>"["&amp;$C299&amp;"]["&amp;$D299&amp;"]["&amp;$F299&amp;"]"</f>
        <v>[S05_DefaultValues][59][InstallationCategory]</v>
      </c>
    </row>
    <row r="300" spans="1:15" x14ac:dyDescent="0.3">
      <c r="A300" t="s">
        <v>2277</v>
      </c>
      <c r="B300" t="s">
        <v>1847</v>
      </c>
      <c r="C300" t="s">
        <v>1855</v>
      </c>
      <c r="D300">
        <v>60</v>
      </c>
      <c r="E300" t="s">
        <v>1447</v>
      </c>
      <c r="F300" t="s">
        <v>1856</v>
      </c>
      <c r="G300" t="s">
        <v>1737</v>
      </c>
      <c r="H300" t="s">
        <v>2279</v>
      </c>
      <c r="I300" t="s">
        <v>2279</v>
      </c>
      <c r="J300" t="s">
        <v>2279</v>
      </c>
      <c r="K300" t="s">
        <v>2279</v>
      </c>
      <c r="L300" t="s">
        <v>1455</v>
      </c>
      <c r="M300" t="s">
        <v>2279</v>
      </c>
      <c r="N300" t="s">
        <v>2279</v>
      </c>
      <c r="O300" s="190" t="str">
        <f>"["&amp;$C300&amp;"]["&amp;$D300&amp;"]["&amp;$F300&amp;"]"</f>
        <v>[S05_DefaultValues][60][InstallationCategory]</v>
      </c>
    </row>
    <row r="301" spans="1:15" x14ac:dyDescent="0.3">
      <c r="A301" t="s">
        <v>2277</v>
      </c>
      <c r="B301" t="s">
        <v>1847</v>
      </c>
      <c r="C301" t="s">
        <v>1855</v>
      </c>
      <c r="D301">
        <v>61</v>
      </c>
      <c r="E301" t="s">
        <v>1447</v>
      </c>
      <c r="F301" t="s">
        <v>1856</v>
      </c>
      <c r="G301" t="s">
        <v>1737</v>
      </c>
      <c r="H301" t="s">
        <v>2279</v>
      </c>
      <c r="I301" t="s">
        <v>2279</v>
      </c>
      <c r="J301" t="s">
        <v>2279</v>
      </c>
      <c r="K301" t="s">
        <v>2279</v>
      </c>
      <c r="L301" t="s">
        <v>1505</v>
      </c>
      <c r="M301" t="s">
        <v>2279</v>
      </c>
      <c r="N301" t="s">
        <v>2279</v>
      </c>
      <c r="O301" s="190" t="str">
        <f>"["&amp;$C301&amp;"]["&amp;$D301&amp;"]["&amp;$F301&amp;"]"</f>
        <v>[S05_DefaultValues][61][InstallationCategory]</v>
      </c>
    </row>
    <row r="302" spans="1:15" x14ac:dyDescent="0.3">
      <c r="A302" t="s">
        <v>2277</v>
      </c>
      <c r="B302" t="s">
        <v>1847</v>
      </c>
      <c r="C302" t="s">
        <v>1855</v>
      </c>
      <c r="D302">
        <v>62</v>
      </c>
      <c r="E302" t="s">
        <v>1447</v>
      </c>
      <c r="F302" t="s">
        <v>1856</v>
      </c>
      <c r="G302" t="s">
        <v>1737</v>
      </c>
      <c r="H302" t="s">
        <v>2279</v>
      </c>
      <c r="I302" t="s">
        <v>2279</v>
      </c>
      <c r="J302" t="s">
        <v>2279</v>
      </c>
      <c r="K302" t="s">
        <v>2279</v>
      </c>
      <c r="L302" t="s">
        <v>1455</v>
      </c>
      <c r="M302" t="s">
        <v>2279</v>
      </c>
      <c r="N302" t="s">
        <v>2279</v>
      </c>
      <c r="O302" s="190" t="str">
        <f>"["&amp;$C302&amp;"]["&amp;$D302&amp;"]["&amp;$F302&amp;"]"</f>
        <v>[S05_DefaultValues][62][InstallationCategory]</v>
      </c>
    </row>
    <row r="303" spans="1:15" x14ac:dyDescent="0.3">
      <c r="A303" t="s">
        <v>2277</v>
      </c>
      <c r="B303" t="s">
        <v>1847</v>
      </c>
      <c r="C303" t="s">
        <v>1855</v>
      </c>
      <c r="D303">
        <v>63</v>
      </c>
      <c r="E303" t="s">
        <v>1447</v>
      </c>
      <c r="F303" t="s">
        <v>1856</v>
      </c>
      <c r="G303" t="s">
        <v>1737</v>
      </c>
      <c r="H303" t="s">
        <v>2279</v>
      </c>
      <c r="I303" t="s">
        <v>2279</v>
      </c>
      <c r="J303" t="s">
        <v>2279</v>
      </c>
      <c r="K303" t="s">
        <v>2279</v>
      </c>
      <c r="L303" t="s">
        <v>1483</v>
      </c>
      <c r="M303" t="s">
        <v>2279</v>
      </c>
      <c r="N303" t="s">
        <v>2279</v>
      </c>
      <c r="O303" s="190" t="str">
        <f>"["&amp;$C303&amp;"]["&amp;$D303&amp;"]["&amp;$F303&amp;"]"</f>
        <v>[S05_DefaultValues][63][InstallationCategory]</v>
      </c>
    </row>
    <row r="304" spans="1:15" x14ac:dyDescent="0.3">
      <c r="A304" t="s">
        <v>2277</v>
      </c>
      <c r="B304" t="s">
        <v>1847</v>
      </c>
      <c r="C304" t="s">
        <v>1855</v>
      </c>
      <c r="D304">
        <v>64</v>
      </c>
      <c r="E304" t="s">
        <v>1447</v>
      </c>
      <c r="F304" t="s">
        <v>1856</v>
      </c>
      <c r="G304" t="s">
        <v>1737</v>
      </c>
      <c r="H304" t="s">
        <v>2279</v>
      </c>
      <c r="I304" t="s">
        <v>2279</v>
      </c>
      <c r="J304" t="s">
        <v>2279</v>
      </c>
      <c r="K304" t="s">
        <v>2279</v>
      </c>
      <c r="L304" t="s">
        <v>1427</v>
      </c>
      <c r="M304" t="s">
        <v>2279</v>
      </c>
      <c r="N304" t="s">
        <v>2279</v>
      </c>
      <c r="O304" s="190" t="str">
        <f>"["&amp;$C304&amp;"]["&amp;$D304&amp;"]["&amp;$F304&amp;"]"</f>
        <v>[S05_DefaultValues][64][InstallationCategory]</v>
      </c>
    </row>
    <row r="305" spans="1:15" x14ac:dyDescent="0.3">
      <c r="A305" t="s">
        <v>2277</v>
      </c>
      <c r="B305" t="s">
        <v>1847</v>
      </c>
      <c r="C305" t="s">
        <v>1855</v>
      </c>
      <c r="D305">
        <v>65</v>
      </c>
      <c r="E305" t="s">
        <v>1447</v>
      </c>
      <c r="F305" t="s">
        <v>1856</v>
      </c>
      <c r="G305" t="s">
        <v>1737</v>
      </c>
      <c r="H305" t="s">
        <v>2279</v>
      </c>
      <c r="I305" t="s">
        <v>2279</v>
      </c>
      <c r="J305" t="s">
        <v>2279</v>
      </c>
      <c r="K305" t="s">
        <v>2279</v>
      </c>
      <c r="L305" t="s">
        <v>1505</v>
      </c>
      <c r="M305" t="s">
        <v>2279</v>
      </c>
      <c r="N305" t="s">
        <v>2279</v>
      </c>
      <c r="O305" s="190" t="str">
        <f>"["&amp;$C305&amp;"]["&amp;$D305&amp;"]["&amp;$F305&amp;"]"</f>
        <v>[S05_DefaultValues][65][InstallationCategory]</v>
      </c>
    </row>
    <row r="306" spans="1:15" x14ac:dyDescent="0.3">
      <c r="A306" t="s">
        <v>2277</v>
      </c>
      <c r="B306" t="s">
        <v>1847</v>
      </c>
      <c r="C306" t="s">
        <v>1855</v>
      </c>
      <c r="D306">
        <v>66</v>
      </c>
      <c r="E306" t="s">
        <v>1447</v>
      </c>
      <c r="F306" t="s">
        <v>1856</v>
      </c>
      <c r="G306" t="s">
        <v>1737</v>
      </c>
      <c r="H306" t="s">
        <v>2279</v>
      </c>
      <c r="I306" t="s">
        <v>2279</v>
      </c>
      <c r="J306" t="s">
        <v>2279</v>
      </c>
      <c r="K306" t="s">
        <v>2279</v>
      </c>
      <c r="L306" t="s">
        <v>1455</v>
      </c>
      <c r="M306" t="s">
        <v>2279</v>
      </c>
      <c r="N306" t="s">
        <v>2279</v>
      </c>
      <c r="O306" s="190" t="str">
        <f>"["&amp;$C306&amp;"]["&amp;$D306&amp;"]["&amp;$F306&amp;"]"</f>
        <v>[S05_DefaultValues][66][InstallationCategory]</v>
      </c>
    </row>
    <row r="307" spans="1:15" x14ac:dyDescent="0.3">
      <c r="A307" t="s">
        <v>2277</v>
      </c>
      <c r="B307" t="s">
        <v>1847</v>
      </c>
      <c r="C307" t="s">
        <v>1855</v>
      </c>
      <c r="D307">
        <v>67</v>
      </c>
      <c r="E307" t="s">
        <v>1447</v>
      </c>
      <c r="F307" t="s">
        <v>1856</v>
      </c>
      <c r="G307" t="s">
        <v>1737</v>
      </c>
      <c r="H307" t="s">
        <v>2279</v>
      </c>
      <c r="I307" t="s">
        <v>2279</v>
      </c>
      <c r="J307" t="s">
        <v>2279</v>
      </c>
      <c r="K307" t="s">
        <v>2279</v>
      </c>
      <c r="L307" t="s">
        <v>1505</v>
      </c>
      <c r="M307" t="s">
        <v>2279</v>
      </c>
      <c r="N307" t="s">
        <v>2279</v>
      </c>
      <c r="O307" s="190" t="str">
        <f>"["&amp;$C307&amp;"]["&amp;$D307&amp;"]["&amp;$F307&amp;"]"</f>
        <v>[S05_DefaultValues][67][InstallationCategory]</v>
      </c>
    </row>
    <row r="308" spans="1:15" x14ac:dyDescent="0.3">
      <c r="A308" t="s">
        <v>2277</v>
      </c>
      <c r="B308" t="s">
        <v>1847</v>
      </c>
      <c r="C308" t="s">
        <v>1855</v>
      </c>
      <c r="D308">
        <v>68</v>
      </c>
      <c r="E308" t="s">
        <v>1447</v>
      </c>
      <c r="F308" t="s">
        <v>1856</v>
      </c>
      <c r="G308" t="s">
        <v>1737</v>
      </c>
      <c r="H308" t="s">
        <v>2279</v>
      </c>
      <c r="I308" t="s">
        <v>2279</v>
      </c>
      <c r="J308" t="s">
        <v>2279</v>
      </c>
      <c r="K308" t="s">
        <v>2279</v>
      </c>
      <c r="L308" t="s">
        <v>1505</v>
      </c>
      <c r="M308" t="s">
        <v>2279</v>
      </c>
      <c r="N308" t="s">
        <v>2279</v>
      </c>
      <c r="O308" s="190" t="str">
        <f>"["&amp;$C308&amp;"]["&amp;$D308&amp;"]["&amp;$F308&amp;"]"</f>
        <v>[S05_DefaultValues][68][InstallationCategory]</v>
      </c>
    </row>
    <row r="309" spans="1:15" x14ac:dyDescent="0.3">
      <c r="A309" t="s">
        <v>2277</v>
      </c>
      <c r="B309" t="s">
        <v>1847</v>
      </c>
      <c r="C309" t="s">
        <v>1855</v>
      </c>
      <c r="D309">
        <v>69</v>
      </c>
      <c r="E309" t="s">
        <v>1447</v>
      </c>
      <c r="F309" t="s">
        <v>1856</v>
      </c>
      <c r="G309" t="s">
        <v>1737</v>
      </c>
      <c r="H309" t="s">
        <v>2279</v>
      </c>
      <c r="I309" t="s">
        <v>2279</v>
      </c>
      <c r="J309" t="s">
        <v>2279</v>
      </c>
      <c r="K309" t="s">
        <v>2279</v>
      </c>
      <c r="L309" t="s">
        <v>1505</v>
      </c>
      <c r="M309" t="s">
        <v>2279</v>
      </c>
      <c r="N309" t="s">
        <v>2279</v>
      </c>
      <c r="O309" s="190" t="str">
        <f>"["&amp;$C309&amp;"]["&amp;$D309&amp;"]["&amp;$F309&amp;"]"</f>
        <v>[S05_DefaultValues][69][InstallationCategory]</v>
      </c>
    </row>
    <row r="310" spans="1:15" x14ac:dyDescent="0.3">
      <c r="A310" t="s">
        <v>2277</v>
      </c>
      <c r="B310" t="s">
        <v>1847</v>
      </c>
      <c r="C310" t="s">
        <v>1855</v>
      </c>
      <c r="D310">
        <v>70</v>
      </c>
      <c r="E310" t="s">
        <v>1447</v>
      </c>
      <c r="F310" t="s">
        <v>1856</v>
      </c>
      <c r="G310" t="s">
        <v>1737</v>
      </c>
      <c r="H310" t="s">
        <v>2279</v>
      </c>
      <c r="I310" t="s">
        <v>2279</v>
      </c>
      <c r="J310" t="s">
        <v>2279</v>
      </c>
      <c r="K310" t="s">
        <v>2279</v>
      </c>
      <c r="L310" t="s">
        <v>1427</v>
      </c>
      <c r="M310" t="s">
        <v>2279</v>
      </c>
      <c r="N310" t="s">
        <v>2279</v>
      </c>
      <c r="O310" s="190" t="str">
        <f>"["&amp;$C310&amp;"]["&amp;$D310&amp;"]["&amp;$F310&amp;"]"</f>
        <v>[S05_DefaultValues][70][InstallationCategory]</v>
      </c>
    </row>
    <row r="311" spans="1:15" x14ac:dyDescent="0.3">
      <c r="A311" t="s">
        <v>2277</v>
      </c>
      <c r="B311" t="s">
        <v>1847</v>
      </c>
      <c r="C311" t="s">
        <v>1855</v>
      </c>
      <c r="D311">
        <v>71</v>
      </c>
      <c r="E311" t="s">
        <v>1447</v>
      </c>
      <c r="F311" t="s">
        <v>1856</v>
      </c>
      <c r="G311" t="s">
        <v>1737</v>
      </c>
      <c r="H311" t="s">
        <v>2279</v>
      </c>
      <c r="I311" t="s">
        <v>2279</v>
      </c>
      <c r="J311" t="s">
        <v>2279</v>
      </c>
      <c r="K311" t="s">
        <v>2279</v>
      </c>
      <c r="L311" t="s">
        <v>1455</v>
      </c>
      <c r="M311" t="s">
        <v>2279</v>
      </c>
      <c r="N311" t="s">
        <v>2279</v>
      </c>
      <c r="O311" s="190" t="str">
        <f>"["&amp;$C311&amp;"]["&amp;$D311&amp;"]["&amp;$F311&amp;"]"</f>
        <v>[S05_DefaultValues][71][InstallationCategory]</v>
      </c>
    </row>
    <row r="312" spans="1:15" x14ac:dyDescent="0.3">
      <c r="A312" t="s">
        <v>2277</v>
      </c>
      <c r="B312" t="s">
        <v>1847</v>
      </c>
      <c r="C312" t="s">
        <v>1855</v>
      </c>
      <c r="D312">
        <v>72</v>
      </c>
      <c r="E312" t="s">
        <v>1447</v>
      </c>
      <c r="F312" t="s">
        <v>1856</v>
      </c>
      <c r="G312" t="s">
        <v>1737</v>
      </c>
      <c r="H312" t="s">
        <v>2279</v>
      </c>
      <c r="I312" t="s">
        <v>2279</v>
      </c>
      <c r="J312" t="s">
        <v>2279</v>
      </c>
      <c r="K312" t="s">
        <v>2279</v>
      </c>
      <c r="L312" t="s">
        <v>1483</v>
      </c>
      <c r="M312" t="s">
        <v>2279</v>
      </c>
      <c r="N312" t="s">
        <v>2279</v>
      </c>
      <c r="O312" s="190" t="str">
        <f>"["&amp;$C312&amp;"]["&amp;$D312&amp;"]["&amp;$F312&amp;"]"</f>
        <v>[S05_DefaultValues][72][InstallationCategory]</v>
      </c>
    </row>
    <row r="313" spans="1:15" x14ac:dyDescent="0.3">
      <c r="A313" t="s">
        <v>2277</v>
      </c>
      <c r="B313" t="s">
        <v>1847</v>
      </c>
      <c r="C313" t="s">
        <v>1855</v>
      </c>
      <c r="D313">
        <v>73</v>
      </c>
      <c r="E313" t="s">
        <v>1447</v>
      </c>
      <c r="F313" t="s">
        <v>1856</v>
      </c>
      <c r="G313" t="s">
        <v>1737</v>
      </c>
      <c r="H313" t="s">
        <v>2279</v>
      </c>
      <c r="I313" t="s">
        <v>2279</v>
      </c>
      <c r="J313" t="s">
        <v>2279</v>
      </c>
      <c r="K313" t="s">
        <v>2279</v>
      </c>
      <c r="L313" t="s">
        <v>1505</v>
      </c>
      <c r="M313" t="s">
        <v>2279</v>
      </c>
      <c r="N313" t="s">
        <v>2279</v>
      </c>
      <c r="O313" s="190" t="str">
        <f>"["&amp;$C313&amp;"]["&amp;$D313&amp;"]["&amp;$F313&amp;"]"</f>
        <v>[S05_DefaultValues][73][InstallationCategory]</v>
      </c>
    </row>
    <row r="314" spans="1:15" x14ac:dyDescent="0.3">
      <c r="A314" t="s">
        <v>2277</v>
      </c>
      <c r="B314" t="s">
        <v>1847</v>
      </c>
      <c r="C314" t="s">
        <v>1855</v>
      </c>
      <c r="D314">
        <v>74</v>
      </c>
      <c r="E314" t="s">
        <v>1447</v>
      </c>
      <c r="F314" t="s">
        <v>1856</v>
      </c>
      <c r="G314" t="s">
        <v>1737</v>
      </c>
      <c r="H314" t="s">
        <v>2279</v>
      </c>
      <c r="I314" t="s">
        <v>2279</v>
      </c>
      <c r="J314" t="s">
        <v>2279</v>
      </c>
      <c r="K314" t="s">
        <v>2279</v>
      </c>
      <c r="L314" t="s">
        <v>1427</v>
      </c>
      <c r="M314" t="s">
        <v>2279</v>
      </c>
      <c r="N314" t="s">
        <v>2279</v>
      </c>
      <c r="O314" s="190" t="str">
        <f>"["&amp;$C314&amp;"]["&amp;$D314&amp;"]["&amp;$F314&amp;"]"</f>
        <v>[S05_DefaultValues][74][InstallationCategory]</v>
      </c>
    </row>
    <row r="315" spans="1:15" x14ac:dyDescent="0.3">
      <c r="A315" t="s">
        <v>2277</v>
      </c>
      <c r="B315" t="s">
        <v>1847</v>
      </c>
      <c r="C315" t="s">
        <v>1855</v>
      </c>
      <c r="D315">
        <v>75</v>
      </c>
      <c r="E315" t="s">
        <v>1447</v>
      </c>
      <c r="F315" t="s">
        <v>1856</v>
      </c>
      <c r="G315" t="s">
        <v>1737</v>
      </c>
      <c r="H315" t="s">
        <v>2279</v>
      </c>
      <c r="I315" t="s">
        <v>2279</v>
      </c>
      <c r="J315" t="s">
        <v>2279</v>
      </c>
      <c r="K315" t="s">
        <v>2279</v>
      </c>
      <c r="L315" t="s">
        <v>1505</v>
      </c>
      <c r="M315" t="s">
        <v>2279</v>
      </c>
      <c r="N315" t="s">
        <v>2279</v>
      </c>
      <c r="O315" s="190" t="str">
        <f>"["&amp;$C315&amp;"]["&amp;$D315&amp;"]["&amp;$F315&amp;"]"</f>
        <v>[S05_DefaultValues][75][InstallationCategory]</v>
      </c>
    </row>
    <row r="316" spans="1:15" x14ac:dyDescent="0.3">
      <c r="A316" t="s">
        <v>2277</v>
      </c>
      <c r="B316" t="s">
        <v>1847</v>
      </c>
      <c r="C316" t="s">
        <v>1855</v>
      </c>
      <c r="D316">
        <v>76</v>
      </c>
      <c r="E316" t="s">
        <v>1447</v>
      </c>
      <c r="F316" t="s">
        <v>1856</v>
      </c>
      <c r="G316" t="s">
        <v>1737</v>
      </c>
      <c r="H316" t="s">
        <v>2279</v>
      </c>
      <c r="I316" t="s">
        <v>2279</v>
      </c>
      <c r="J316" t="s">
        <v>2279</v>
      </c>
      <c r="K316" t="s">
        <v>2279</v>
      </c>
      <c r="L316" t="s">
        <v>1427</v>
      </c>
      <c r="M316" t="s">
        <v>2279</v>
      </c>
      <c r="N316" t="s">
        <v>2279</v>
      </c>
      <c r="O316" s="190" t="str">
        <f>"["&amp;$C316&amp;"]["&amp;$D316&amp;"]["&amp;$F316&amp;"]"</f>
        <v>[S05_DefaultValues][76][InstallationCategory]</v>
      </c>
    </row>
    <row r="317" spans="1:15" x14ac:dyDescent="0.3">
      <c r="A317" t="s">
        <v>2277</v>
      </c>
      <c r="B317" t="s">
        <v>1847</v>
      </c>
      <c r="C317" t="s">
        <v>1855</v>
      </c>
      <c r="D317">
        <v>77</v>
      </c>
      <c r="E317" t="s">
        <v>1447</v>
      </c>
      <c r="F317" t="s">
        <v>1856</v>
      </c>
      <c r="G317" t="s">
        <v>1737</v>
      </c>
      <c r="H317" t="s">
        <v>2279</v>
      </c>
      <c r="I317" t="s">
        <v>2279</v>
      </c>
      <c r="J317" t="s">
        <v>2279</v>
      </c>
      <c r="K317" t="s">
        <v>2279</v>
      </c>
      <c r="L317" t="s">
        <v>1455</v>
      </c>
      <c r="M317" t="s">
        <v>2279</v>
      </c>
      <c r="N317" t="s">
        <v>2279</v>
      </c>
      <c r="O317" s="190" t="str">
        <f>"["&amp;$C317&amp;"]["&amp;$D317&amp;"]["&amp;$F317&amp;"]"</f>
        <v>[S05_DefaultValues][77][InstallationCategory]</v>
      </c>
    </row>
    <row r="318" spans="1:15" x14ac:dyDescent="0.3">
      <c r="A318" t="s">
        <v>2277</v>
      </c>
      <c r="B318" t="s">
        <v>1847</v>
      </c>
      <c r="C318" t="s">
        <v>1855</v>
      </c>
      <c r="D318">
        <v>78</v>
      </c>
      <c r="E318" t="s">
        <v>1447</v>
      </c>
      <c r="F318" t="s">
        <v>1856</v>
      </c>
      <c r="G318" t="s">
        <v>1737</v>
      </c>
      <c r="H318" t="s">
        <v>2279</v>
      </c>
      <c r="I318" t="s">
        <v>2279</v>
      </c>
      <c r="J318" t="s">
        <v>2279</v>
      </c>
      <c r="K318" t="s">
        <v>2279</v>
      </c>
      <c r="L318" t="s">
        <v>1483</v>
      </c>
      <c r="M318" t="s">
        <v>2279</v>
      </c>
      <c r="N318" t="s">
        <v>2279</v>
      </c>
      <c r="O318" s="190" t="str">
        <f>"["&amp;$C318&amp;"]["&amp;$D318&amp;"]["&amp;$F318&amp;"]"</f>
        <v>[S05_DefaultValues][78][InstallationCategory]</v>
      </c>
    </row>
    <row r="319" spans="1:15" x14ac:dyDescent="0.3">
      <c r="A319" t="s">
        <v>2277</v>
      </c>
      <c r="B319" t="s">
        <v>1847</v>
      </c>
      <c r="C319" t="s">
        <v>1855</v>
      </c>
      <c r="D319">
        <v>79</v>
      </c>
      <c r="E319" t="s">
        <v>1447</v>
      </c>
      <c r="F319" t="s">
        <v>1856</v>
      </c>
      <c r="G319" t="s">
        <v>1737</v>
      </c>
      <c r="H319" t="s">
        <v>2279</v>
      </c>
      <c r="I319" t="s">
        <v>2279</v>
      </c>
      <c r="J319" t="s">
        <v>2279</v>
      </c>
      <c r="K319" t="s">
        <v>2279</v>
      </c>
      <c r="L319" t="s">
        <v>1505</v>
      </c>
      <c r="M319" t="s">
        <v>2279</v>
      </c>
      <c r="N319" t="s">
        <v>2279</v>
      </c>
      <c r="O319" s="190" t="str">
        <f>"["&amp;$C319&amp;"]["&amp;$D319&amp;"]["&amp;$F319&amp;"]"</f>
        <v>[S05_DefaultValues][79][InstallationCategory]</v>
      </c>
    </row>
    <row r="320" spans="1:15" x14ac:dyDescent="0.3">
      <c r="A320" t="s">
        <v>2277</v>
      </c>
      <c r="B320" t="s">
        <v>1847</v>
      </c>
      <c r="C320" t="s">
        <v>1855</v>
      </c>
      <c r="D320">
        <v>80</v>
      </c>
      <c r="E320" t="s">
        <v>1447</v>
      </c>
      <c r="F320" t="s">
        <v>1856</v>
      </c>
      <c r="G320" t="s">
        <v>1737</v>
      </c>
      <c r="H320" t="s">
        <v>2279</v>
      </c>
      <c r="I320" t="s">
        <v>2279</v>
      </c>
      <c r="J320" t="s">
        <v>2279</v>
      </c>
      <c r="K320" t="s">
        <v>2279</v>
      </c>
      <c r="L320" t="s">
        <v>1455</v>
      </c>
      <c r="M320" t="s">
        <v>2279</v>
      </c>
      <c r="N320" t="s">
        <v>2279</v>
      </c>
      <c r="O320" s="190" t="str">
        <f>"["&amp;$C320&amp;"]["&amp;$D320&amp;"]["&amp;$F320&amp;"]"</f>
        <v>[S05_DefaultValues][80][InstallationCategory]</v>
      </c>
    </row>
    <row r="321" spans="1:15" x14ac:dyDescent="0.3">
      <c r="A321" t="s">
        <v>2277</v>
      </c>
      <c r="B321" t="s">
        <v>1847</v>
      </c>
      <c r="C321" t="s">
        <v>1855</v>
      </c>
      <c r="D321">
        <v>81</v>
      </c>
      <c r="E321" t="s">
        <v>1447</v>
      </c>
      <c r="F321" t="s">
        <v>1856</v>
      </c>
      <c r="G321" t="s">
        <v>1737</v>
      </c>
      <c r="H321" t="s">
        <v>2279</v>
      </c>
      <c r="I321" t="s">
        <v>2279</v>
      </c>
      <c r="J321" t="s">
        <v>2279</v>
      </c>
      <c r="K321" t="s">
        <v>2279</v>
      </c>
      <c r="L321" t="s">
        <v>1427</v>
      </c>
      <c r="M321" t="s">
        <v>2279</v>
      </c>
      <c r="N321" t="s">
        <v>2279</v>
      </c>
      <c r="O321" s="190" t="str">
        <f>"["&amp;$C321&amp;"]["&amp;$D321&amp;"]["&amp;$F321&amp;"]"</f>
        <v>[S05_DefaultValues][81][InstallationCategory]</v>
      </c>
    </row>
    <row r="322" spans="1:15" x14ac:dyDescent="0.3">
      <c r="A322" t="s">
        <v>2277</v>
      </c>
      <c r="B322" t="s">
        <v>1847</v>
      </c>
      <c r="C322" t="s">
        <v>1855</v>
      </c>
      <c r="D322">
        <v>82</v>
      </c>
      <c r="E322" t="s">
        <v>1447</v>
      </c>
      <c r="F322" t="s">
        <v>1856</v>
      </c>
      <c r="G322" t="s">
        <v>1737</v>
      </c>
      <c r="H322" t="s">
        <v>2279</v>
      </c>
      <c r="I322" t="s">
        <v>2279</v>
      </c>
      <c r="J322" t="s">
        <v>2279</v>
      </c>
      <c r="K322" t="s">
        <v>2279</v>
      </c>
      <c r="L322" t="s">
        <v>1427</v>
      </c>
      <c r="M322" t="s">
        <v>2279</v>
      </c>
      <c r="N322" t="s">
        <v>2279</v>
      </c>
      <c r="O322" s="190" t="str">
        <f>"["&amp;$C322&amp;"]["&amp;$D322&amp;"]["&amp;$F322&amp;"]"</f>
        <v>[S05_DefaultValues][82][InstallationCategory]</v>
      </c>
    </row>
    <row r="323" spans="1:15" x14ac:dyDescent="0.3">
      <c r="A323" t="s">
        <v>2277</v>
      </c>
      <c r="B323" t="s">
        <v>1847</v>
      </c>
      <c r="C323" t="s">
        <v>1855</v>
      </c>
      <c r="D323">
        <v>83</v>
      </c>
      <c r="E323" t="s">
        <v>1447</v>
      </c>
      <c r="F323" t="s">
        <v>1856</v>
      </c>
      <c r="G323" t="s">
        <v>1737</v>
      </c>
      <c r="H323" t="s">
        <v>2279</v>
      </c>
      <c r="I323" t="s">
        <v>2279</v>
      </c>
      <c r="J323" t="s">
        <v>2279</v>
      </c>
      <c r="K323" t="s">
        <v>2279</v>
      </c>
      <c r="L323" t="s">
        <v>1483</v>
      </c>
      <c r="M323" t="s">
        <v>2279</v>
      </c>
      <c r="N323" t="s">
        <v>2279</v>
      </c>
      <c r="O323" s="190" t="str">
        <f>"["&amp;$C323&amp;"]["&amp;$D323&amp;"]["&amp;$F323&amp;"]"</f>
        <v>[S05_DefaultValues][83][InstallationCategory]</v>
      </c>
    </row>
    <row r="324" spans="1:15" x14ac:dyDescent="0.3">
      <c r="A324" t="s">
        <v>2277</v>
      </c>
      <c r="B324" t="s">
        <v>1847</v>
      </c>
      <c r="C324" t="s">
        <v>1855</v>
      </c>
      <c r="D324">
        <v>1</v>
      </c>
      <c r="E324" t="s">
        <v>1447</v>
      </c>
      <c r="F324" t="s">
        <v>1857</v>
      </c>
      <c r="G324" t="s">
        <v>1741</v>
      </c>
      <c r="H324" t="s">
        <v>2321</v>
      </c>
      <c r="I324" t="s">
        <v>2279</v>
      </c>
      <c r="J324" t="s">
        <v>2279</v>
      </c>
      <c r="K324" t="s">
        <v>2279</v>
      </c>
      <c r="L324" t="s">
        <v>2279</v>
      </c>
      <c r="M324" t="s">
        <v>2279</v>
      </c>
      <c r="N324" t="s">
        <v>2279</v>
      </c>
      <c r="O324" s="190" t="str">
        <f>"["&amp;$C324&amp;"]["&amp;$D324&amp;"]["&amp;$F324&amp;"]"</f>
        <v>[S05_DefaultValues][1][FuelMaterialType]</v>
      </c>
    </row>
    <row r="325" spans="1:15" x14ac:dyDescent="0.3">
      <c r="A325" t="s">
        <v>2277</v>
      </c>
      <c r="B325" t="s">
        <v>1847</v>
      </c>
      <c r="C325" t="s">
        <v>1855</v>
      </c>
      <c r="D325">
        <v>2</v>
      </c>
      <c r="E325" t="s">
        <v>1447</v>
      </c>
      <c r="F325" t="s">
        <v>1857</v>
      </c>
      <c r="G325" t="s">
        <v>1741</v>
      </c>
      <c r="H325" t="s">
        <v>2321</v>
      </c>
      <c r="I325" t="s">
        <v>2279</v>
      </c>
      <c r="J325" t="s">
        <v>2279</v>
      </c>
      <c r="K325" t="s">
        <v>2279</v>
      </c>
      <c r="L325" t="s">
        <v>2279</v>
      </c>
      <c r="M325" t="s">
        <v>2279</v>
      </c>
      <c r="N325" t="s">
        <v>2279</v>
      </c>
      <c r="O325" s="190" t="str">
        <f>"["&amp;$C325&amp;"]["&amp;$D325&amp;"]["&amp;$F325&amp;"]"</f>
        <v>[S05_DefaultValues][2][FuelMaterialType]</v>
      </c>
    </row>
    <row r="326" spans="1:15" x14ac:dyDescent="0.3">
      <c r="A326" t="s">
        <v>2277</v>
      </c>
      <c r="B326" t="s">
        <v>1847</v>
      </c>
      <c r="C326" t="s">
        <v>1855</v>
      </c>
      <c r="D326">
        <v>3</v>
      </c>
      <c r="E326" t="s">
        <v>1447</v>
      </c>
      <c r="F326" t="s">
        <v>1857</v>
      </c>
      <c r="G326" t="s">
        <v>1741</v>
      </c>
      <c r="H326" t="s">
        <v>2321</v>
      </c>
      <c r="I326" t="s">
        <v>2279</v>
      </c>
      <c r="J326" t="s">
        <v>2279</v>
      </c>
      <c r="K326" t="s">
        <v>2279</v>
      </c>
      <c r="L326" t="s">
        <v>2279</v>
      </c>
      <c r="M326" t="s">
        <v>2279</v>
      </c>
      <c r="N326" t="s">
        <v>2279</v>
      </c>
      <c r="O326" s="190" t="str">
        <f>"["&amp;$C326&amp;"]["&amp;$D326&amp;"]["&amp;$F326&amp;"]"</f>
        <v>[S05_DefaultValues][3][FuelMaterialType]</v>
      </c>
    </row>
    <row r="327" spans="1:15" x14ac:dyDescent="0.3">
      <c r="A327" t="s">
        <v>2277</v>
      </c>
      <c r="B327" t="s">
        <v>1847</v>
      </c>
      <c r="C327" t="s">
        <v>1855</v>
      </c>
      <c r="D327">
        <v>4</v>
      </c>
      <c r="E327" t="s">
        <v>1447</v>
      </c>
      <c r="F327" t="s">
        <v>1857</v>
      </c>
      <c r="G327" t="s">
        <v>1741</v>
      </c>
      <c r="H327" t="s">
        <v>2322</v>
      </c>
      <c r="I327" t="s">
        <v>2279</v>
      </c>
      <c r="J327" t="s">
        <v>2279</v>
      </c>
      <c r="K327" t="s">
        <v>2279</v>
      </c>
      <c r="L327" t="s">
        <v>2279</v>
      </c>
      <c r="M327" t="s">
        <v>2279</v>
      </c>
      <c r="N327" t="s">
        <v>2279</v>
      </c>
      <c r="O327" s="190" t="str">
        <f>"["&amp;$C327&amp;"]["&amp;$D327&amp;"]["&amp;$F327&amp;"]"</f>
        <v>[S05_DefaultValues][4][FuelMaterialType]</v>
      </c>
    </row>
    <row r="328" spans="1:15" x14ac:dyDescent="0.3">
      <c r="A328" t="s">
        <v>2277</v>
      </c>
      <c r="B328" t="s">
        <v>1847</v>
      </c>
      <c r="C328" t="s">
        <v>1855</v>
      </c>
      <c r="D328">
        <v>5</v>
      </c>
      <c r="E328" t="s">
        <v>1447</v>
      </c>
      <c r="F328" t="s">
        <v>1857</v>
      </c>
      <c r="G328" t="s">
        <v>1741</v>
      </c>
      <c r="H328" t="s">
        <v>2322</v>
      </c>
      <c r="I328" t="s">
        <v>2279</v>
      </c>
      <c r="J328" t="s">
        <v>2279</v>
      </c>
      <c r="K328" t="s">
        <v>2279</v>
      </c>
      <c r="L328" t="s">
        <v>2279</v>
      </c>
      <c r="M328" t="s">
        <v>2279</v>
      </c>
      <c r="N328" t="s">
        <v>2279</v>
      </c>
      <c r="O328" s="190" t="str">
        <f>"["&amp;$C328&amp;"]["&amp;$D328&amp;"]["&amp;$F328&amp;"]"</f>
        <v>[S05_DefaultValues][5][FuelMaterialType]</v>
      </c>
    </row>
    <row r="329" spans="1:15" x14ac:dyDescent="0.3">
      <c r="A329" t="s">
        <v>2277</v>
      </c>
      <c r="B329" t="s">
        <v>1847</v>
      </c>
      <c r="C329" t="s">
        <v>1855</v>
      </c>
      <c r="D329">
        <v>6</v>
      </c>
      <c r="E329" t="s">
        <v>1447</v>
      </c>
      <c r="F329" t="s">
        <v>1857</v>
      </c>
      <c r="G329" t="s">
        <v>1741</v>
      </c>
      <c r="H329" t="s">
        <v>2322</v>
      </c>
      <c r="I329" t="s">
        <v>2279</v>
      </c>
      <c r="J329" t="s">
        <v>2279</v>
      </c>
      <c r="K329" t="s">
        <v>2279</v>
      </c>
      <c r="L329" t="s">
        <v>2279</v>
      </c>
      <c r="M329" t="s">
        <v>2279</v>
      </c>
      <c r="N329" t="s">
        <v>2279</v>
      </c>
      <c r="O329" s="190" t="str">
        <f>"["&amp;$C329&amp;"]["&amp;$D329&amp;"]["&amp;$F329&amp;"]"</f>
        <v>[S05_DefaultValues][6][FuelMaterialType]</v>
      </c>
    </row>
    <row r="330" spans="1:15" x14ac:dyDescent="0.3">
      <c r="A330" t="s">
        <v>2277</v>
      </c>
      <c r="B330" t="s">
        <v>1847</v>
      </c>
      <c r="C330" t="s">
        <v>1855</v>
      </c>
      <c r="D330">
        <v>7</v>
      </c>
      <c r="E330" t="s">
        <v>1447</v>
      </c>
      <c r="F330" t="s">
        <v>1857</v>
      </c>
      <c r="G330" t="s">
        <v>1741</v>
      </c>
      <c r="H330" t="s">
        <v>2322</v>
      </c>
      <c r="I330" t="s">
        <v>2279</v>
      </c>
      <c r="J330" t="s">
        <v>2279</v>
      </c>
      <c r="K330" t="s">
        <v>2279</v>
      </c>
      <c r="L330" t="s">
        <v>2279</v>
      </c>
      <c r="M330" t="s">
        <v>2279</v>
      </c>
      <c r="N330" t="s">
        <v>2279</v>
      </c>
      <c r="O330" s="190" t="str">
        <f>"["&amp;$C330&amp;"]["&amp;$D330&amp;"]["&amp;$F330&amp;"]"</f>
        <v>[S05_DefaultValues][7][FuelMaterialType]</v>
      </c>
    </row>
    <row r="331" spans="1:15" x14ac:dyDescent="0.3">
      <c r="A331" t="s">
        <v>2277</v>
      </c>
      <c r="B331" t="s">
        <v>1847</v>
      </c>
      <c r="C331" t="s">
        <v>1855</v>
      </c>
      <c r="D331">
        <v>8</v>
      </c>
      <c r="E331" t="s">
        <v>1447</v>
      </c>
      <c r="F331" t="s">
        <v>1857</v>
      </c>
      <c r="G331" t="s">
        <v>1741</v>
      </c>
      <c r="H331" t="s">
        <v>213</v>
      </c>
      <c r="I331" t="s">
        <v>2279</v>
      </c>
      <c r="J331" t="s">
        <v>2279</v>
      </c>
      <c r="K331" t="s">
        <v>2279</v>
      </c>
      <c r="L331" t="s">
        <v>2279</v>
      </c>
      <c r="M331" t="s">
        <v>2279</v>
      </c>
      <c r="N331" t="s">
        <v>2279</v>
      </c>
      <c r="O331" s="190" t="str">
        <f>"["&amp;$C331&amp;"]["&amp;$D331&amp;"]["&amp;$F331&amp;"]"</f>
        <v>[S05_DefaultValues][8][FuelMaterialType]</v>
      </c>
    </row>
    <row r="332" spans="1:15" x14ac:dyDescent="0.3">
      <c r="A332" t="s">
        <v>2277</v>
      </c>
      <c r="B332" t="s">
        <v>1847</v>
      </c>
      <c r="C332" t="s">
        <v>1855</v>
      </c>
      <c r="D332">
        <v>9</v>
      </c>
      <c r="E332" t="s">
        <v>1447</v>
      </c>
      <c r="F332" t="s">
        <v>1857</v>
      </c>
      <c r="G332" t="s">
        <v>1741</v>
      </c>
      <c r="H332" t="s">
        <v>213</v>
      </c>
      <c r="I332" t="s">
        <v>2279</v>
      </c>
      <c r="J332" t="s">
        <v>2279</v>
      </c>
      <c r="K332" t="s">
        <v>2279</v>
      </c>
      <c r="L332" t="s">
        <v>2279</v>
      </c>
      <c r="M332" t="s">
        <v>2279</v>
      </c>
      <c r="N332" t="s">
        <v>2279</v>
      </c>
      <c r="O332" s="190" t="str">
        <f>"["&amp;$C332&amp;"]["&amp;$D332&amp;"]["&amp;$F332&amp;"]"</f>
        <v>[S05_DefaultValues][9][FuelMaterialType]</v>
      </c>
    </row>
    <row r="333" spans="1:15" x14ac:dyDescent="0.3">
      <c r="A333" t="s">
        <v>2277</v>
      </c>
      <c r="B333" t="s">
        <v>1847</v>
      </c>
      <c r="C333" t="s">
        <v>1855</v>
      </c>
      <c r="D333">
        <v>10</v>
      </c>
      <c r="E333" t="s">
        <v>1447</v>
      </c>
      <c r="F333" t="s">
        <v>1857</v>
      </c>
      <c r="G333" t="s">
        <v>1741</v>
      </c>
      <c r="H333" t="s">
        <v>2323</v>
      </c>
      <c r="I333" t="s">
        <v>2279</v>
      </c>
      <c r="J333" t="s">
        <v>2279</v>
      </c>
      <c r="K333" t="s">
        <v>2279</v>
      </c>
      <c r="L333" t="s">
        <v>2279</v>
      </c>
      <c r="M333" t="s">
        <v>2279</v>
      </c>
      <c r="N333" t="s">
        <v>2279</v>
      </c>
      <c r="O333" s="190" t="str">
        <f>"["&amp;$C333&amp;"]["&amp;$D333&amp;"]["&amp;$F333&amp;"]"</f>
        <v>[S05_DefaultValues][10][FuelMaterialType]</v>
      </c>
    </row>
    <row r="334" spans="1:15" x14ac:dyDescent="0.3">
      <c r="A334" t="s">
        <v>2277</v>
      </c>
      <c r="B334" t="s">
        <v>1847</v>
      </c>
      <c r="C334" t="s">
        <v>1855</v>
      </c>
      <c r="D334">
        <v>11</v>
      </c>
      <c r="E334" t="s">
        <v>1447</v>
      </c>
      <c r="F334" t="s">
        <v>1857</v>
      </c>
      <c r="G334" t="s">
        <v>1741</v>
      </c>
      <c r="H334" t="s">
        <v>2324</v>
      </c>
      <c r="I334" t="s">
        <v>2279</v>
      </c>
      <c r="J334" t="s">
        <v>2279</v>
      </c>
      <c r="K334" t="s">
        <v>2279</v>
      </c>
      <c r="L334" t="s">
        <v>2279</v>
      </c>
      <c r="M334" t="s">
        <v>2279</v>
      </c>
      <c r="N334" t="s">
        <v>2279</v>
      </c>
      <c r="O334" s="190" t="str">
        <f>"["&amp;$C334&amp;"]["&amp;$D334&amp;"]["&amp;$F334&amp;"]"</f>
        <v>[S05_DefaultValues][11][FuelMaterialType]</v>
      </c>
    </row>
    <row r="335" spans="1:15" x14ac:dyDescent="0.3">
      <c r="A335" t="s">
        <v>2277</v>
      </c>
      <c r="B335" t="s">
        <v>1847</v>
      </c>
      <c r="C335" t="s">
        <v>1855</v>
      </c>
      <c r="D335">
        <v>12</v>
      </c>
      <c r="E335" t="s">
        <v>1447</v>
      </c>
      <c r="F335" t="s">
        <v>1857</v>
      </c>
      <c r="G335" t="s">
        <v>1741</v>
      </c>
      <c r="H335" t="s">
        <v>2324</v>
      </c>
      <c r="I335" t="s">
        <v>2279</v>
      </c>
      <c r="J335" t="s">
        <v>2279</v>
      </c>
      <c r="K335" t="s">
        <v>2279</v>
      </c>
      <c r="L335" t="s">
        <v>2279</v>
      </c>
      <c r="M335" t="s">
        <v>2279</v>
      </c>
      <c r="N335" t="s">
        <v>2279</v>
      </c>
      <c r="O335" s="190" t="str">
        <f>"["&amp;$C335&amp;"]["&amp;$D335&amp;"]["&amp;$F335&amp;"]"</f>
        <v>[S05_DefaultValues][12][FuelMaterialType]</v>
      </c>
    </row>
    <row r="336" spans="1:15" x14ac:dyDescent="0.3">
      <c r="A336" t="s">
        <v>2277</v>
      </c>
      <c r="B336" t="s">
        <v>1847</v>
      </c>
      <c r="C336" t="s">
        <v>1855</v>
      </c>
      <c r="D336">
        <v>13</v>
      </c>
      <c r="E336" t="s">
        <v>1447</v>
      </c>
      <c r="F336" t="s">
        <v>1857</v>
      </c>
      <c r="G336" t="s">
        <v>1741</v>
      </c>
      <c r="H336" t="s">
        <v>2325</v>
      </c>
      <c r="I336" t="s">
        <v>2279</v>
      </c>
      <c r="J336" t="s">
        <v>2279</v>
      </c>
      <c r="K336" t="s">
        <v>2279</v>
      </c>
      <c r="L336" t="s">
        <v>2279</v>
      </c>
      <c r="M336" t="s">
        <v>2279</v>
      </c>
      <c r="N336" t="s">
        <v>2279</v>
      </c>
      <c r="O336" s="190" t="str">
        <f>"["&amp;$C336&amp;"]["&amp;$D336&amp;"]["&amp;$F336&amp;"]"</f>
        <v>[S05_DefaultValues][13][FuelMaterialType]</v>
      </c>
    </row>
    <row r="337" spans="1:15" x14ac:dyDescent="0.3">
      <c r="A337" t="s">
        <v>2277</v>
      </c>
      <c r="B337" t="s">
        <v>1847</v>
      </c>
      <c r="C337" t="s">
        <v>1855</v>
      </c>
      <c r="D337">
        <v>14</v>
      </c>
      <c r="E337" t="s">
        <v>1447</v>
      </c>
      <c r="F337" t="s">
        <v>1857</v>
      </c>
      <c r="G337" t="s">
        <v>1741</v>
      </c>
      <c r="H337" t="s">
        <v>2326</v>
      </c>
      <c r="I337" t="s">
        <v>2279</v>
      </c>
      <c r="J337" t="s">
        <v>2279</v>
      </c>
      <c r="K337" t="s">
        <v>2279</v>
      </c>
      <c r="L337" t="s">
        <v>2279</v>
      </c>
      <c r="M337" t="s">
        <v>2279</v>
      </c>
      <c r="N337" t="s">
        <v>2279</v>
      </c>
      <c r="O337" s="190" t="str">
        <f>"["&amp;$C337&amp;"]["&amp;$D337&amp;"]["&amp;$F337&amp;"]"</f>
        <v>[S05_DefaultValues][14][FuelMaterialType]</v>
      </c>
    </row>
    <row r="338" spans="1:15" x14ac:dyDescent="0.3">
      <c r="A338" t="s">
        <v>2277</v>
      </c>
      <c r="B338" t="s">
        <v>1847</v>
      </c>
      <c r="C338" t="s">
        <v>1855</v>
      </c>
      <c r="D338">
        <v>15</v>
      </c>
      <c r="E338" t="s">
        <v>1447</v>
      </c>
      <c r="F338" t="s">
        <v>1857</v>
      </c>
      <c r="G338" t="s">
        <v>1741</v>
      </c>
      <c r="H338" t="s">
        <v>2327</v>
      </c>
      <c r="I338" t="s">
        <v>2279</v>
      </c>
      <c r="J338" t="s">
        <v>2279</v>
      </c>
      <c r="K338" t="s">
        <v>2279</v>
      </c>
      <c r="L338" t="s">
        <v>2279</v>
      </c>
      <c r="M338" t="s">
        <v>2279</v>
      </c>
      <c r="N338" t="s">
        <v>2279</v>
      </c>
      <c r="O338" s="190" t="str">
        <f>"["&amp;$C338&amp;"]["&amp;$D338&amp;"]["&amp;$F338&amp;"]"</f>
        <v>[S05_DefaultValues][15][FuelMaterialType]</v>
      </c>
    </row>
    <row r="339" spans="1:15" x14ac:dyDescent="0.3">
      <c r="A339" t="s">
        <v>2277</v>
      </c>
      <c r="B339" t="s">
        <v>1847</v>
      </c>
      <c r="C339" t="s">
        <v>1855</v>
      </c>
      <c r="D339">
        <v>16</v>
      </c>
      <c r="E339" t="s">
        <v>1447</v>
      </c>
      <c r="F339" t="s">
        <v>1857</v>
      </c>
      <c r="G339" t="s">
        <v>1741</v>
      </c>
      <c r="H339" t="s">
        <v>2328</v>
      </c>
      <c r="I339" t="s">
        <v>2279</v>
      </c>
      <c r="J339" t="s">
        <v>2279</v>
      </c>
      <c r="K339" t="s">
        <v>2279</v>
      </c>
      <c r="L339" t="s">
        <v>2279</v>
      </c>
      <c r="M339" t="s">
        <v>2279</v>
      </c>
      <c r="N339" t="s">
        <v>2279</v>
      </c>
      <c r="O339" s="190" t="str">
        <f>"["&amp;$C339&amp;"]["&amp;$D339&amp;"]["&amp;$F339&amp;"]"</f>
        <v>[S05_DefaultValues][16][FuelMaterialType]</v>
      </c>
    </row>
    <row r="340" spans="1:15" x14ac:dyDescent="0.3">
      <c r="A340" t="s">
        <v>2277</v>
      </c>
      <c r="B340" t="s">
        <v>1847</v>
      </c>
      <c r="C340" t="s">
        <v>1855</v>
      </c>
      <c r="D340">
        <v>17</v>
      </c>
      <c r="E340" t="s">
        <v>1447</v>
      </c>
      <c r="F340" t="s">
        <v>1857</v>
      </c>
      <c r="G340" t="s">
        <v>1741</v>
      </c>
      <c r="H340" t="s">
        <v>2328</v>
      </c>
      <c r="I340" t="s">
        <v>2279</v>
      </c>
      <c r="J340" t="s">
        <v>2279</v>
      </c>
      <c r="K340" t="s">
        <v>2279</v>
      </c>
      <c r="L340" t="s">
        <v>2279</v>
      </c>
      <c r="M340" t="s">
        <v>2279</v>
      </c>
      <c r="N340" t="s">
        <v>2279</v>
      </c>
      <c r="O340" s="190" t="str">
        <f>"["&amp;$C340&amp;"]["&amp;$D340&amp;"]["&amp;$F340&amp;"]"</f>
        <v>[S05_DefaultValues][17][FuelMaterialType]</v>
      </c>
    </row>
    <row r="341" spans="1:15" x14ac:dyDescent="0.3">
      <c r="A341" t="s">
        <v>2277</v>
      </c>
      <c r="B341" t="s">
        <v>1847</v>
      </c>
      <c r="C341" t="s">
        <v>1855</v>
      </c>
      <c r="D341">
        <v>18</v>
      </c>
      <c r="E341" t="s">
        <v>1447</v>
      </c>
      <c r="F341" t="s">
        <v>1857</v>
      </c>
      <c r="G341" t="s">
        <v>1741</v>
      </c>
      <c r="H341" t="s">
        <v>2329</v>
      </c>
      <c r="I341" t="s">
        <v>2279</v>
      </c>
      <c r="J341" t="s">
        <v>2279</v>
      </c>
      <c r="K341" t="s">
        <v>2279</v>
      </c>
      <c r="L341" t="s">
        <v>2279</v>
      </c>
      <c r="M341" t="s">
        <v>2279</v>
      </c>
      <c r="N341" t="s">
        <v>2279</v>
      </c>
      <c r="O341" s="190" t="str">
        <f>"["&amp;$C341&amp;"]["&amp;$D341&amp;"]["&amp;$F341&amp;"]"</f>
        <v>[S05_DefaultValues][18][FuelMaterialType]</v>
      </c>
    </row>
    <row r="342" spans="1:15" x14ac:dyDescent="0.3">
      <c r="A342" t="s">
        <v>2277</v>
      </c>
      <c r="B342" t="s">
        <v>1847</v>
      </c>
      <c r="C342" t="s">
        <v>1855</v>
      </c>
      <c r="D342">
        <v>19</v>
      </c>
      <c r="E342" t="s">
        <v>1447</v>
      </c>
      <c r="F342" t="s">
        <v>1857</v>
      </c>
      <c r="G342" t="s">
        <v>1741</v>
      </c>
      <c r="H342" t="s">
        <v>2329</v>
      </c>
      <c r="I342" t="s">
        <v>2279</v>
      </c>
      <c r="J342" t="s">
        <v>2279</v>
      </c>
      <c r="K342" t="s">
        <v>2279</v>
      </c>
      <c r="L342" t="s">
        <v>2279</v>
      </c>
      <c r="M342" t="s">
        <v>2279</v>
      </c>
      <c r="N342" t="s">
        <v>2279</v>
      </c>
      <c r="O342" s="190" t="str">
        <f>"["&amp;$C342&amp;"]["&amp;$D342&amp;"]["&amp;$F342&amp;"]"</f>
        <v>[S05_DefaultValues][19][FuelMaterialType]</v>
      </c>
    </row>
    <row r="343" spans="1:15" x14ac:dyDescent="0.3">
      <c r="A343" t="s">
        <v>2277</v>
      </c>
      <c r="B343" t="s">
        <v>1847</v>
      </c>
      <c r="C343" t="s">
        <v>1855</v>
      </c>
      <c r="D343">
        <v>20</v>
      </c>
      <c r="E343" t="s">
        <v>1447</v>
      </c>
      <c r="F343" t="s">
        <v>1857</v>
      </c>
      <c r="G343" t="s">
        <v>1741</v>
      </c>
      <c r="H343" t="s">
        <v>2330</v>
      </c>
      <c r="I343" t="s">
        <v>2279</v>
      </c>
      <c r="J343" t="s">
        <v>2279</v>
      </c>
      <c r="K343" t="s">
        <v>2279</v>
      </c>
      <c r="L343" t="s">
        <v>2279</v>
      </c>
      <c r="M343" t="s">
        <v>2279</v>
      </c>
      <c r="N343" t="s">
        <v>2279</v>
      </c>
      <c r="O343" s="190" t="str">
        <f>"["&amp;$C343&amp;"]["&amp;$D343&amp;"]["&amp;$F343&amp;"]"</f>
        <v>[S05_DefaultValues][20][FuelMaterialType]</v>
      </c>
    </row>
    <row r="344" spans="1:15" x14ac:dyDescent="0.3">
      <c r="A344" t="s">
        <v>2277</v>
      </c>
      <c r="B344" t="s">
        <v>1847</v>
      </c>
      <c r="C344" t="s">
        <v>1855</v>
      </c>
      <c r="D344">
        <v>21</v>
      </c>
      <c r="E344" t="s">
        <v>1447</v>
      </c>
      <c r="F344" t="s">
        <v>1857</v>
      </c>
      <c r="G344" t="s">
        <v>1741</v>
      </c>
      <c r="H344" t="s">
        <v>2330</v>
      </c>
      <c r="I344" t="s">
        <v>2279</v>
      </c>
      <c r="J344" t="s">
        <v>2279</v>
      </c>
      <c r="K344" t="s">
        <v>2279</v>
      </c>
      <c r="L344" t="s">
        <v>2279</v>
      </c>
      <c r="M344" t="s">
        <v>2279</v>
      </c>
      <c r="N344" t="s">
        <v>2279</v>
      </c>
      <c r="O344" s="190" t="str">
        <f>"["&amp;$C344&amp;"]["&amp;$D344&amp;"]["&amp;$F344&amp;"]"</f>
        <v>[S05_DefaultValues][21][FuelMaterialType]</v>
      </c>
    </row>
    <row r="345" spans="1:15" x14ac:dyDescent="0.3">
      <c r="A345" t="s">
        <v>2277</v>
      </c>
      <c r="B345" t="s">
        <v>1847</v>
      </c>
      <c r="C345" t="s">
        <v>1855</v>
      </c>
      <c r="D345">
        <v>22</v>
      </c>
      <c r="E345" t="s">
        <v>1447</v>
      </c>
      <c r="F345" t="s">
        <v>1857</v>
      </c>
      <c r="G345" t="s">
        <v>1741</v>
      </c>
      <c r="H345" t="s">
        <v>2331</v>
      </c>
      <c r="I345" t="s">
        <v>2279</v>
      </c>
      <c r="J345" t="s">
        <v>2279</v>
      </c>
      <c r="K345" t="s">
        <v>2279</v>
      </c>
      <c r="L345" t="s">
        <v>2279</v>
      </c>
      <c r="M345" t="s">
        <v>2279</v>
      </c>
      <c r="N345" t="s">
        <v>2279</v>
      </c>
      <c r="O345" s="190" t="str">
        <f>"["&amp;$C345&amp;"]["&amp;$D345&amp;"]["&amp;$F345&amp;"]"</f>
        <v>[S05_DefaultValues][22][FuelMaterialType]</v>
      </c>
    </row>
    <row r="346" spans="1:15" x14ac:dyDescent="0.3">
      <c r="A346" t="s">
        <v>2277</v>
      </c>
      <c r="B346" t="s">
        <v>1847</v>
      </c>
      <c r="C346" t="s">
        <v>1855</v>
      </c>
      <c r="D346">
        <v>23</v>
      </c>
      <c r="E346" t="s">
        <v>1447</v>
      </c>
      <c r="F346" t="s">
        <v>1857</v>
      </c>
      <c r="G346" t="s">
        <v>1741</v>
      </c>
      <c r="H346" t="s">
        <v>2332</v>
      </c>
      <c r="I346" t="s">
        <v>2279</v>
      </c>
      <c r="J346" t="s">
        <v>2279</v>
      </c>
      <c r="K346" t="s">
        <v>2279</v>
      </c>
      <c r="L346" t="s">
        <v>2279</v>
      </c>
      <c r="M346" t="s">
        <v>2279</v>
      </c>
      <c r="N346" t="s">
        <v>2279</v>
      </c>
      <c r="O346" s="190" t="str">
        <f>"["&amp;$C346&amp;"]["&amp;$D346&amp;"]["&amp;$F346&amp;"]"</f>
        <v>[S05_DefaultValues][23][FuelMaterialType]</v>
      </c>
    </row>
    <row r="347" spans="1:15" x14ac:dyDescent="0.3">
      <c r="A347" t="s">
        <v>2277</v>
      </c>
      <c r="B347" t="s">
        <v>1847</v>
      </c>
      <c r="C347" t="s">
        <v>1855</v>
      </c>
      <c r="D347">
        <v>24</v>
      </c>
      <c r="E347" t="s">
        <v>1447</v>
      </c>
      <c r="F347" t="s">
        <v>1857</v>
      </c>
      <c r="G347" t="s">
        <v>1741</v>
      </c>
      <c r="H347" t="s">
        <v>2332</v>
      </c>
      <c r="I347" t="s">
        <v>2279</v>
      </c>
      <c r="J347" t="s">
        <v>2279</v>
      </c>
      <c r="K347" t="s">
        <v>2279</v>
      </c>
      <c r="L347" t="s">
        <v>2279</v>
      </c>
      <c r="M347" t="s">
        <v>2279</v>
      </c>
      <c r="N347" t="s">
        <v>2279</v>
      </c>
      <c r="O347" s="190" t="str">
        <f>"["&amp;$C347&amp;"]["&amp;$D347&amp;"]["&amp;$F347&amp;"]"</f>
        <v>[S05_DefaultValues][24][FuelMaterialType]</v>
      </c>
    </row>
    <row r="348" spans="1:15" x14ac:dyDescent="0.3">
      <c r="A348" t="s">
        <v>2277</v>
      </c>
      <c r="B348" t="s">
        <v>1847</v>
      </c>
      <c r="C348" t="s">
        <v>1855</v>
      </c>
      <c r="D348">
        <v>25</v>
      </c>
      <c r="E348" t="s">
        <v>1447</v>
      </c>
      <c r="F348" t="s">
        <v>1857</v>
      </c>
      <c r="G348" t="s">
        <v>1741</v>
      </c>
      <c r="H348" t="s">
        <v>2333</v>
      </c>
      <c r="I348" t="s">
        <v>2279</v>
      </c>
      <c r="J348" t="s">
        <v>2279</v>
      </c>
      <c r="K348" t="s">
        <v>2279</v>
      </c>
      <c r="L348" t="s">
        <v>2279</v>
      </c>
      <c r="M348" t="s">
        <v>2279</v>
      </c>
      <c r="N348" t="s">
        <v>2279</v>
      </c>
      <c r="O348" s="190" t="str">
        <f>"["&amp;$C348&amp;"]["&amp;$D348&amp;"]["&amp;$F348&amp;"]"</f>
        <v>[S05_DefaultValues][25][FuelMaterialType]</v>
      </c>
    </row>
    <row r="349" spans="1:15" x14ac:dyDescent="0.3">
      <c r="A349" t="s">
        <v>2277</v>
      </c>
      <c r="B349" t="s">
        <v>1847</v>
      </c>
      <c r="C349" t="s">
        <v>1855</v>
      </c>
      <c r="D349">
        <v>26</v>
      </c>
      <c r="E349" t="s">
        <v>1447</v>
      </c>
      <c r="F349" t="s">
        <v>1857</v>
      </c>
      <c r="G349" t="s">
        <v>1741</v>
      </c>
      <c r="H349" t="s">
        <v>849</v>
      </c>
      <c r="I349" t="s">
        <v>2279</v>
      </c>
      <c r="J349" t="s">
        <v>2279</v>
      </c>
      <c r="K349" t="s">
        <v>2279</v>
      </c>
      <c r="L349" t="s">
        <v>2279</v>
      </c>
      <c r="M349" t="s">
        <v>2279</v>
      </c>
      <c r="N349" t="s">
        <v>2279</v>
      </c>
      <c r="O349" s="190" t="str">
        <f>"["&amp;$C349&amp;"]["&amp;$D349&amp;"]["&amp;$F349&amp;"]"</f>
        <v>[S05_DefaultValues][26][FuelMaterialType]</v>
      </c>
    </row>
    <row r="350" spans="1:15" x14ac:dyDescent="0.3">
      <c r="A350" t="s">
        <v>2277</v>
      </c>
      <c r="B350" t="s">
        <v>1847</v>
      </c>
      <c r="C350" t="s">
        <v>1855</v>
      </c>
      <c r="D350">
        <v>27</v>
      </c>
      <c r="E350" t="s">
        <v>1447</v>
      </c>
      <c r="F350" t="s">
        <v>1857</v>
      </c>
      <c r="G350" t="s">
        <v>1741</v>
      </c>
      <c r="H350" t="s">
        <v>849</v>
      </c>
      <c r="I350" t="s">
        <v>2279</v>
      </c>
      <c r="J350" t="s">
        <v>2279</v>
      </c>
      <c r="K350" t="s">
        <v>2279</v>
      </c>
      <c r="L350" t="s">
        <v>2279</v>
      </c>
      <c r="M350" t="s">
        <v>2279</v>
      </c>
      <c r="N350" t="s">
        <v>2279</v>
      </c>
      <c r="O350" s="190" t="str">
        <f>"["&amp;$C350&amp;"]["&amp;$D350&amp;"]["&amp;$F350&amp;"]"</f>
        <v>[S05_DefaultValues][27][FuelMaterialType]</v>
      </c>
    </row>
    <row r="351" spans="1:15" x14ac:dyDescent="0.3">
      <c r="A351" t="s">
        <v>2277</v>
      </c>
      <c r="B351" t="s">
        <v>1847</v>
      </c>
      <c r="C351" t="s">
        <v>1855</v>
      </c>
      <c r="D351">
        <v>28</v>
      </c>
      <c r="E351" t="s">
        <v>1447</v>
      </c>
      <c r="F351" t="s">
        <v>1857</v>
      </c>
      <c r="G351" t="s">
        <v>1741</v>
      </c>
      <c r="H351" t="s">
        <v>849</v>
      </c>
      <c r="I351" t="s">
        <v>2279</v>
      </c>
      <c r="J351" t="s">
        <v>2279</v>
      </c>
      <c r="K351" t="s">
        <v>2279</v>
      </c>
      <c r="L351" t="s">
        <v>2279</v>
      </c>
      <c r="M351" t="s">
        <v>2279</v>
      </c>
      <c r="N351" t="s">
        <v>2279</v>
      </c>
      <c r="O351" s="190" t="str">
        <f>"["&amp;$C351&amp;"]["&amp;$D351&amp;"]["&amp;$F351&amp;"]"</f>
        <v>[S05_DefaultValues][28][FuelMaterialType]</v>
      </c>
    </row>
    <row r="352" spans="1:15" x14ac:dyDescent="0.3">
      <c r="A352" t="s">
        <v>2277</v>
      </c>
      <c r="B352" t="s">
        <v>1847</v>
      </c>
      <c r="C352" t="s">
        <v>1855</v>
      </c>
      <c r="D352">
        <v>29</v>
      </c>
      <c r="E352" t="s">
        <v>1447</v>
      </c>
      <c r="F352" t="s">
        <v>1857</v>
      </c>
      <c r="G352" t="s">
        <v>1741</v>
      </c>
      <c r="H352" t="s">
        <v>2334</v>
      </c>
      <c r="I352" t="s">
        <v>2279</v>
      </c>
      <c r="J352" t="s">
        <v>2279</v>
      </c>
      <c r="K352" t="s">
        <v>2279</v>
      </c>
      <c r="L352" t="s">
        <v>2279</v>
      </c>
      <c r="M352" t="s">
        <v>2279</v>
      </c>
      <c r="N352" t="s">
        <v>2279</v>
      </c>
      <c r="O352" s="190" t="str">
        <f>"["&amp;$C352&amp;"]["&amp;$D352&amp;"]["&amp;$F352&amp;"]"</f>
        <v>[S05_DefaultValues][29][FuelMaterialType]</v>
      </c>
    </row>
    <row r="353" spans="1:15" x14ac:dyDescent="0.3">
      <c r="A353" t="s">
        <v>2277</v>
      </c>
      <c r="B353" t="s">
        <v>1847</v>
      </c>
      <c r="C353" t="s">
        <v>1855</v>
      </c>
      <c r="D353">
        <v>30</v>
      </c>
      <c r="E353" t="s">
        <v>1447</v>
      </c>
      <c r="F353" t="s">
        <v>1857</v>
      </c>
      <c r="G353" t="s">
        <v>1741</v>
      </c>
      <c r="H353" t="s">
        <v>2334</v>
      </c>
      <c r="I353" t="s">
        <v>2279</v>
      </c>
      <c r="J353" t="s">
        <v>2279</v>
      </c>
      <c r="K353" t="s">
        <v>2279</v>
      </c>
      <c r="L353" t="s">
        <v>2279</v>
      </c>
      <c r="M353" t="s">
        <v>2279</v>
      </c>
      <c r="N353" t="s">
        <v>2279</v>
      </c>
      <c r="O353" s="190" t="str">
        <f>"["&amp;$C353&amp;"]["&amp;$D353&amp;"]["&amp;$F353&amp;"]"</f>
        <v>[S05_DefaultValues][30][FuelMaterialType]</v>
      </c>
    </row>
    <row r="354" spans="1:15" x14ac:dyDescent="0.3">
      <c r="A354" t="s">
        <v>2277</v>
      </c>
      <c r="B354" t="s">
        <v>1847</v>
      </c>
      <c r="C354" t="s">
        <v>1855</v>
      </c>
      <c r="D354">
        <v>31</v>
      </c>
      <c r="E354" t="s">
        <v>1447</v>
      </c>
      <c r="F354" t="s">
        <v>1857</v>
      </c>
      <c r="G354" t="s">
        <v>1741</v>
      </c>
      <c r="H354" t="s">
        <v>2334</v>
      </c>
      <c r="I354" t="s">
        <v>2279</v>
      </c>
      <c r="J354" t="s">
        <v>2279</v>
      </c>
      <c r="K354" t="s">
        <v>2279</v>
      </c>
      <c r="L354" t="s">
        <v>2279</v>
      </c>
      <c r="M354" t="s">
        <v>2279</v>
      </c>
      <c r="N354" t="s">
        <v>2279</v>
      </c>
      <c r="O354" s="190" t="str">
        <f>"["&amp;$C354&amp;"]["&amp;$D354&amp;"]["&amp;$F354&amp;"]"</f>
        <v>[S05_DefaultValues][31][FuelMaterialType]</v>
      </c>
    </row>
    <row r="355" spans="1:15" x14ac:dyDescent="0.3">
      <c r="A355" t="s">
        <v>2277</v>
      </c>
      <c r="B355" t="s">
        <v>1847</v>
      </c>
      <c r="C355" t="s">
        <v>1855</v>
      </c>
      <c r="D355">
        <v>32</v>
      </c>
      <c r="E355" t="s">
        <v>1447</v>
      </c>
      <c r="F355" t="s">
        <v>1857</v>
      </c>
      <c r="G355" t="s">
        <v>1741</v>
      </c>
      <c r="H355" t="s">
        <v>2334</v>
      </c>
      <c r="I355" t="s">
        <v>2279</v>
      </c>
      <c r="J355" t="s">
        <v>2279</v>
      </c>
      <c r="K355" t="s">
        <v>2279</v>
      </c>
      <c r="L355" t="s">
        <v>2279</v>
      </c>
      <c r="M355" t="s">
        <v>2279</v>
      </c>
      <c r="N355" t="s">
        <v>2279</v>
      </c>
      <c r="O355" s="190" t="str">
        <f>"["&amp;$C355&amp;"]["&amp;$D355&amp;"]["&amp;$F355&amp;"]"</f>
        <v>[S05_DefaultValues][32][FuelMaterialType]</v>
      </c>
    </row>
    <row r="356" spans="1:15" x14ac:dyDescent="0.3">
      <c r="A356" t="s">
        <v>2277</v>
      </c>
      <c r="B356" t="s">
        <v>1847</v>
      </c>
      <c r="C356" t="s">
        <v>1855</v>
      </c>
      <c r="D356">
        <v>33</v>
      </c>
      <c r="E356" t="s">
        <v>1447</v>
      </c>
      <c r="F356" t="s">
        <v>1857</v>
      </c>
      <c r="G356" t="s">
        <v>1741</v>
      </c>
      <c r="H356" t="s">
        <v>2335</v>
      </c>
      <c r="I356" t="s">
        <v>2279</v>
      </c>
      <c r="J356" t="s">
        <v>2279</v>
      </c>
      <c r="K356" t="s">
        <v>2279</v>
      </c>
      <c r="L356" t="s">
        <v>2279</v>
      </c>
      <c r="M356" t="s">
        <v>2279</v>
      </c>
      <c r="N356" t="s">
        <v>2279</v>
      </c>
      <c r="O356" s="190" t="str">
        <f>"["&amp;$C356&amp;"]["&amp;$D356&amp;"]["&amp;$F356&amp;"]"</f>
        <v>[S05_DefaultValues][33][FuelMaterialType]</v>
      </c>
    </row>
    <row r="357" spans="1:15" x14ac:dyDescent="0.3">
      <c r="A357" t="s">
        <v>2277</v>
      </c>
      <c r="B357" t="s">
        <v>1847</v>
      </c>
      <c r="C357" t="s">
        <v>1855</v>
      </c>
      <c r="D357">
        <v>34</v>
      </c>
      <c r="E357" t="s">
        <v>1447</v>
      </c>
      <c r="F357" t="s">
        <v>1857</v>
      </c>
      <c r="G357" t="s">
        <v>1741</v>
      </c>
      <c r="H357" t="s">
        <v>2335</v>
      </c>
      <c r="I357" t="s">
        <v>2279</v>
      </c>
      <c r="J357" t="s">
        <v>2279</v>
      </c>
      <c r="K357" t="s">
        <v>2279</v>
      </c>
      <c r="L357" t="s">
        <v>2279</v>
      </c>
      <c r="M357" t="s">
        <v>2279</v>
      </c>
      <c r="N357" t="s">
        <v>2279</v>
      </c>
      <c r="O357" s="190" t="str">
        <f>"["&amp;$C357&amp;"]["&amp;$D357&amp;"]["&amp;$F357&amp;"]"</f>
        <v>[S05_DefaultValues][34][FuelMaterialType]</v>
      </c>
    </row>
    <row r="358" spans="1:15" x14ac:dyDescent="0.3">
      <c r="A358" t="s">
        <v>2277</v>
      </c>
      <c r="B358" t="s">
        <v>1847</v>
      </c>
      <c r="C358" t="s">
        <v>1855</v>
      </c>
      <c r="D358">
        <v>35</v>
      </c>
      <c r="E358" t="s">
        <v>1447</v>
      </c>
      <c r="F358" t="s">
        <v>1857</v>
      </c>
      <c r="G358" t="s">
        <v>1741</v>
      </c>
      <c r="H358" t="s">
        <v>2335</v>
      </c>
      <c r="I358" t="s">
        <v>2279</v>
      </c>
      <c r="J358" t="s">
        <v>2279</v>
      </c>
      <c r="K358" t="s">
        <v>2279</v>
      </c>
      <c r="L358" t="s">
        <v>2279</v>
      </c>
      <c r="M358" t="s">
        <v>2279</v>
      </c>
      <c r="N358" t="s">
        <v>2279</v>
      </c>
      <c r="O358" s="190" t="str">
        <f>"["&amp;$C358&amp;"]["&amp;$D358&amp;"]["&amp;$F358&amp;"]"</f>
        <v>[S05_DefaultValues][35][FuelMaterialType]</v>
      </c>
    </row>
    <row r="359" spans="1:15" x14ac:dyDescent="0.3">
      <c r="A359" t="s">
        <v>2277</v>
      </c>
      <c r="B359" t="s">
        <v>1847</v>
      </c>
      <c r="C359" t="s">
        <v>1855</v>
      </c>
      <c r="D359">
        <v>36</v>
      </c>
      <c r="E359" t="s">
        <v>1447</v>
      </c>
      <c r="F359" t="s">
        <v>1857</v>
      </c>
      <c r="G359" t="s">
        <v>1741</v>
      </c>
      <c r="H359" t="s">
        <v>2335</v>
      </c>
      <c r="I359" t="s">
        <v>2279</v>
      </c>
      <c r="J359" t="s">
        <v>2279</v>
      </c>
      <c r="K359" t="s">
        <v>2279</v>
      </c>
      <c r="L359" t="s">
        <v>2279</v>
      </c>
      <c r="M359" t="s">
        <v>2279</v>
      </c>
      <c r="N359" t="s">
        <v>2279</v>
      </c>
      <c r="O359" s="190" t="str">
        <f>"["&amp;$C359&amp;"]["&amp;$D359&amp;"]["&amp;$F359&amp;"]"</f>
        <v>[S05_DefaultValues][36][FuelMaterialType]</v>
      </c>
    </row>
    <row r="360" spans="1:15" x14ac:dyDescent="0.3">
      <c r="A360" t="s">
        <v>2277</v>
      </c>
      <c r="B360" t="s">
        <v>1847</v>
      </c>
      <c r="C360" t="s">
        <v>1855</v>
      </c>
      <c r="D360">
        <v>37</v>
      </c>
      <c r="E360" t="s">
        <v>1447</v>
      </c>
      <c r="F360" t="s">
        <v>1857</v>
      </c>
      <c r="G360" t="s">
        <v>1741</v>
      </c>
      <c r="H360" t="s">
        <v>2336</v>
      </c>
      <c r="I360" t="s">
        <v>2279</v>
      </c>
      <c r="J360" t="s">
        <v>2279</v>
      </c>
      <c r="K360" t="s">
        <v>2279</v>
      </c>
      <c r="L360" t="s">
        <v>2279</v>
      </c>
      <c r="M360" t="s">
        <v>2279</v>
      </c>
      <c r="N360" t="s">
        <v>2279</v>
      </c>
      <c r="O360" s="190" t="str">
        <f>"["&amp;$C360&amp;"]["&amp;$D360&amp;"]["&amp;$F360&amp;"]"</f>
        <v>[S05_DefaultValues][37][FuelMaterialType]</v>
      </c>
    </row>
    <row r="361" spans="1:15" x14ac:dyDescent="0.3">
      <c r="A361" t="s">
        <v>2277</v>
      </c>
      <c r="B361" t="s">
        <v>1847</v>
      </c>
      <c r="C361" t="s">
        <v>1855</v>
      </c>
      <c r="D361">
        <v>38</v>
      </c>
      <c r="E361" t="s">
        <v>1447</v>
      </c>
      <c r="F361" t="s">
        <v>1857</v>
      </c>
      <c r="G361" t="s">
        <v>1741</v>
      </c>
      <c r="H361" t="s">
        <v>2336</v>
      </c>
      <c r="I361" t="s">
        <v>2279</v>
      </c>
      <c r="J361" t="s">
        <v>2279</v>
      </c>
      <c r="K361" t="s">
        <v>2279</v>
      </c>
      <c r="L361" t="s">
        <v>2279</v>
      </c>
      <c r="M361" t="s">
        <v>2279</v>
      </c>
      <c r="N361" t="s">
        <v>2279</v>
      </c>
      <c r="O361" s="190" t="str">
        <f>"["&amp;$C361&amp;"]["&amp;$D361&amp;"]["&amp;$F361&amp;"]"</f>
        <v>[S05_DefaultValues][38][FuelMaterialType]</v>
      </c>
    </row>
    <row r="362" spans="1:15" x14ac:dyDescent="0.3">
      <c r="A362" t="s">
        <v>2277</v>
      </c>
      <c r="B362" t="s">
        <v>1847</v>
      </c>
      <c r="C362" t="s">
        <v>1855</v>
      </c>
      <c r="D362">
        <v>39</v>
      </c>
      <c r="E362" t="s">
        <v>1447</v>
      </c>
      <c r="F362" t="s">
        <v>1857</v>
      </c>
      <c r="G362" t="s">
        <v>1741</v>
      </c>
      <c r="H362" t="s">
        <v>2337</v>
      </c>
      <c r="I362" t="s">
        <v>2279</v>
      </c>
      <c r="J362" t="s">
        <v>2279</v>
      </c>
      <c r="K362" t="s">
        <v>2279</v>
      </c>
      <c r="L362" t="s">
        <v>2279</v>
      </c>
      <c r="M362" t="s">
        <v>2279</v>
      </c>
      <c r="N362" t="s">
        <v>2279</v>
      </c>
      <c r="O362" s="190" t="str">
        <f>"["&amp;$C362&amp;"]["&amp;$D362&amp;"]["&amp;$F362&amp;"]"</f>
        <v>[S05_DefaultValues][39][FuelMaterialType]</v>
      </c>
    </row>
    <row r="363" spans="1:15" x14ac:dyDescent="0.3">
      <c r="A363" t="s">
        <v>2277</v>
      </c>
      <c r="B363" t="s">
        <v>1847</v>
      </c>
      <c r="C363" t="s">
        <v>1855</v>
      </c>
      <c r="D363">
        <v>40</v>
      </c>
      <c r="E363" t="s">
        <v>1447</v>
      </c>
      <c r="F363" t="s">
        <v>1857</v>
      </c>
      <c r="G363" t="s">
        <v>1741</v>
      </c>
      <c r="H363" t="s">
        <v>195</v>
      </c>
      <c r="I363" t="s">
        <v>2279</v>
      </c>
      <c r="J363" t="s">
        <v>2279</v>
      </c>
      <c r="K363" t="s">
        <v>2279</v>
      </c>
      <c r="L363" t="s">
        <v>2279</v>
      </c>
      <c r="M363" t="s">
        <v>2279</v>
      </c>
      <c r="N363" t="s">
        <v>2279</v>
      </c>
      <c r="O363" s="190" t="str">
        <f>"["&amp;$C363&amp;"]["&amp;$D363&amp;"]["&amp;$F363&amp;"]"</f>
        <v>[S05_DefaultValues][40][FuelMaterialType]</v>
      </c>
    </row>
    <row r="364" spans="1:15" x14ac:dyDescent="0.3">
      <c r="A364" t="s">
        <v>2277</v>
      </c>
      <c r="B364" t="s">
        <v>1847</v>
      </c>
      <c r="C364" t="s">
        <v>1855</v>
      </c>
      <c r="D364">
        <v>41</v>
      </c>
      <c r="E364" t="s">
        <v>1447</v>
      </c>
      <c r="F364" t="s">
        <v>1857</v>
      </c>
      <c r="G364" t="s">
        <v>1741</v>
      </c>
      <c r="H364" t="s">
        <v>195</v>
      </c>
      <c r="I364" t="s">
        <v>2279</v>
      </c>
      <c r="J364" t="s">
        <v>2279</v>
      </c>
      <c r="K364" t="s">
        <v>2279</v>
      </c>
      <c r="L364" t="s">
        <v>2279</v>
      </c>
      <c r="M364" t="s">
        <v>2279</v>
      </c>
      <c r="N364" t="s">
        <v>2279</v>
      </c>
      <c r="O364" s="190" t="str">
        <f>"["&amp;$C364&amp;"]["&amp;$D364&amp;"]["&amp;$F364&amp;"]"</f>
        <v>[S05_DefaultValues][41][FuelMaterialType]</v>
      </c>
    </row>
    <row r="365" spans="1:15" x14ac:dyDescent="0.3">
      <c r="A365" t="s">
        <v>2277</v>
      </c>
      <c r="B365" t="s">
        <v>1847</v>
      </c>
      <c r="C365" t="s">
        <v>1855</v>
      </c>
      <c r="D365">
        <v>42</v>
      </c>
      <c r="E365" t="s">
        <v>1447</v>
      </c>
      <c r="F365" t="s">
        <v>1857</v>
      </c>
      <c r="G365" t="s">
        <v>1741</v>
      </c>
      <c r="H365" t="s">
        <v>195</v>
      </c>
      <c r="I365" t="s">
        <v>2279</v>
      </c>
      <c r="J365" t="s">
        <v>2279</v>
      </c>
      <c r="K365" t="s">
        <v>2279</v>
      </c>
      <c r="L365" t="s">
        <v>2279</v>
      </c>
      <c r="M365" t="s">
        <v>2279</v>
      </c>
      <c r="N365" t="s">
        <v>2279</v>
      </c>
      <c r="O365" s="190" t="str">
        <f>"["&amp;$C365&amp;"]["&amp;$D365&amp;"]["&amp;$F365&amp;"]"</f>
        <v>[S05_DefaultValues][42][FuelMaterialType]</v>
      </c>
    </row>
    <row r="366" spans="1:15" x14ac:dyDescent="0.3">
      <c r="A366" t="s">
        <v>2277</v>
      </c>
      <c r="B366" t="s">
        <v>1847</v>
      </c>
      <c r="C366" t="s">
        <v>1855</v>
      </c>
      <c r="D366">
        <v>43</v>
      </c>
      <c r="E366" t="s">
        <v>1447</v>
      </c>
      <c r="F366" t="s">
        <v>1857</v>
      </c>
      <c r="G366" t="s">
        <v>1741</v>
      </c>
      <c r="H366" t="s">
        <v>195</v>
      </c>
      <c r="I366" t="s">
        <v>2279</v>
      </c>
      <c r="J366" t="s">
        <v>2279</v>
      </c>
      <c r="K366" t="s">
        <v>2279</v>
      </c>
      <c r="L366" t="s">
        <v>2279</v>
      </c>
      <c r="M366" t="s">
        <v>2279</v>
      </c>
      <c r="N366" t="s">
        <v>2279</v>
      </c>
      <c r="O366" s="190" t="str">
        <f>"["&amp;$C366&amp;"]["&amp;$D366&amp;"]["&amp;$F366&amp;"]"</f>
        <v>[S05_DefaultValues][43][FuelMaterialType]</v>
      </c>
    </row>
    <row r="367" spans="1:15" x14ac:dyDescent="0.3">
      <c r="A367" t="s">
        <v>2277</v>
      </c>
      <c r="B367" t="s">
        <v>1847</v>
      </c>
      <c r="C367" t="s">
        <v>1855</v>
      </c>
      <c r="D367">
        <v>44</v>
      </c>
      <c r="E367" t="s">
        <v>1447</v>
      </c>
      <c r="F367" t="s">
        <v>1857</v>
      </c>
      <c r="G367" t="s">
        <v>1741</v>
      </c>
      <c r="H367" t="s">
        <v>2338</v>
      </c>
      <c r="I367" t="s">
        <v>2279</v>
      </c>
      <c r="J367" t="s">
        <v>2279</v>
      </c>
      <c r="K367" t="s">
        <v>2279</v>
      </c>
      <c r="L367" t="s">
        <v>2279</v>
      </c>
      <c r="M367" t="s">
        <v>2279</v>
      </c>
      <c r="N367" t="s">
        <v>2279</v>
      </c>
      <c r="O367" s="190" t="str">
        <f>"["&amp;$C367&amp;"]["&amp;$D367&amp;"]["&amp;$F367&amp;"]"</f>
        <v>[S05_DefaultValues][44][FuelMaterialType]</v>
      </c>
    </row>
    <row r="368" spans="1:15" x14ac:dyDescent="0.3">
      <c r="A368" t="s">
        <v>2277</v>
      </c>
      <c r="B368" t="s">
        <v>1847</v>
      </c>
      <c r="C368" t="s">
        <v>1855</v>
      </c>
      <c r="D368">
        <v>45</v>
      </c>
      <c r="E368" t="s">
        <v>1447</v>
      </c>
      <c r="F368" t="s">
        <v>1857</v>
      </c>
      <c r="G368" t="s">
        <v>1741</v>
      </c>
      <c r="H368" t="s">
        <v>2338</v>
      </c>
      <c r="I368" t="s">
        <v>2279</v>
      </c>
      <c r="J368" t="s">
        <v>2279</v>
      </c>
      <c r="K368" t="s">
        <v>2279</v>
      </c>
      <c r="L368" t="s">
        <v>2279</v>
      </c>
      <c r="M368" t="s">
        <v>2279</v>
      </c>
      <c r="N368" t="s">
        <v>2279</v>
      </c>
      <c r="O368" s="190" t="str">
        <f>"["&amp;$C368&amp;"]["&amp;$D368&amp;"]["&amp;$F368&amp;"]"</f>
        <v>[S05_DefaultValues][45][FuelMaterialType]</v>
      </c>
    </row>
    <row r="369" spans="1:15" x14ac:dyDescent="0.3">
      <c r="A369" t="s">
        <v>2277</v>
      </c>
      <c r="B369" t="s">
        <v>1847</v>
      </c>
      <c r="C369" t="s">
        <v>1855</v>
      </c>
      <c r="D369">
        <v>46</v>
      </c>
      <c r="E369" t="s">
        <v>1447</v>
      </c>
      <c r="F369" t="s">
        <v>1857</v>
      </c>
      <c r="G369" t="s">
        <v>1741</v>
      </c>
      <c r="H369" t="s">
        <v>2339</v>
      </c>
      <c r="I369" t="s">
        <v>2279</v>
      </c>
      <c r="J369" t="s">
        <v>2279</v>
      </c>
      <c r="K369" t="s">
        <v>2279</v>
      </c>
      <c r="L369" t="s">
        <v>2279</v>
      </c>
      <c r="M369" t="s">
        <v>2279</v>
      </c>
      <c r="N369" t="s">
        <v>2279</v>
      </c>
      <c r="O369" s="190" t="str">
        <f>"["&amp;$C369&amp;"]["&amp;$D369&amp;"]["&amp;$F369&amp;"]"</f>
        <v>[S05_DefaultValues][46][FuelMaterialType]</v>
      </c>
    </row>
    <row r="370" spans="1:15" x14ac:dyDescent="0.3">
      <c r="A370" t="s">
        <v>2277</v>
      </c>
      <c r="B370" t="s">
        <v>1847</v>
      </c>
      <c r="C370" t="s">
        <v>1855</v>
      </c>
      <c r="D370">
        <v>47</v>
      </c>
      <c r="E370" t="s">
        <v>1447</v>
      </c>
      <c r="F370" t="s">
        <v>1857</v>
      </c>
      <c r="G370" t="s">
        <v>1741</v>
      </c>
      <c r="H370" t="s">
        <v>2339</v>
      </c>
      <c r="I370" t="s">
        <v>2279</v>
      </c>
      <c r="J370" t="s">
        <v>2279</v>
      </c>
      <c r="K370" t="s">
        <v>2279</v>
      </c>
      <c r="L370" t="s">
        <v>2279</v>
      </c>
      <c r="M370" t="s">
        <v>2279</v>
      </c>
      <c r="N370" t="s">
        <v>2279</v>
      </c>
      <c r="O370" s="190" t="str">
        <f>"["&amp;$C370&amp;"]["&amp;$D370&amp;"]["&amp;$F370&amp;"]"</f>
        <v>[S05_DefaultValues][47][FuelMaterialType]</v>
      </c>
    </row>
    <row r="371" spans="1:15" x14ac:dyDescent="0.3">
      <c r="A371" t="s">
        <v>2277</v>
      </c>
      <c r="B371" t="s">
        <v>1847</v>
      </c>
      <c r="C371" t="s">
        <v>1855</v>
      </c>
      <c r="D371">
        <v>48</v>
      </c>
      <c r="E371" t="s">
        <v>1447</v>
      </c>
      <c r="F371" t="s">
        <v>1857</v>
      </c>
      <c r="G371" t="s">
        <v>1741</v>
      </c>
      <c r="H371" t="s">
        <v>2339</v>
      </c>
      <c r="I371" t="s">
        <v>2279</v>
      </c>
      <c r="J371" t="s">
        <v>2279</v>
      </c>
      <c r="K371" t="s">
        <v>2279</v>
      </c>
      <c r="L371" t="s">
        <v>2279</v>
      </c>
      <c r="M371" t="s">
        <v>2279</v>
      </c>
      <c r="N371" t="s">
        <v>2279</v>
      </c>
      <c r="O371" s="190" t="str">
        <f>"["&amp;$C371&amp;"]["&amp;$D371&amp;"]["&amp;$F371&amp;"]"</f>
        <v>[S05_DefaultValues][48][FuelMaterialType]</v>
      </c>
    </row>
    <row r="372" spans="1:15" x14ac:dyDescent="0.3">
      <c r="A372" t="s">
        <v>2277</v>
      </c>
      <c r="B372" t="s">
        <v>1847</v>
      </c>
      <c r="C372" t="s">
        <v>1855</v>
      </c>
      <c r="D372">
        <v>49</v>
      </c>
      <c r="E372" t="s">
        <v>1447</v>
      </c>
      <c r="F372" t="s">
        <v>1857</v>
      </c>
      <c r="G372" t="s">
        <v>1741</v>
      </c>
      <c r="H372" t="s">
        <v>2339</v>
      </c>
      <c r="I372" t="s">
        <v>2279</v>
      </c>
      <c r="J372" t="s">
        <v>2279</v>
      </c>
      <c r="K372" t="s">
        <v>2279</v>
      </c>
      <c r="L372" t="s">
        <v>2279</v>
      </c>
      <c r="M372" t="s">
        <v>2279</v>
      </c>
      <c r="N372" t="s">
        <v>2279</v>
      </c>
      <c r="O372" s="190" t="str">
        <f>"["&amp;$C372&amp;"]["&amp;$D372&amp;"]["&amp;$F372&amp;"]"</f>
        <v>[S05_DefaultValues][49][FuelMaterialType]</v>
      </c>
    </row>
    <row r="373" spans="1:15" x14ac:dyDescent="0.3">
      <c r="A373" t="s">
        <v>2277</v>
      </c>
      <c r="B373" t="s">
        <v>1847</v>
      </c>
      <c r="C373" t="s">
        <v>1855</v>
      </c>
      <c r="D373">
        <v>50</v>
      </c>
      <c r="E373" t="s">
        <v>1447</v>
      </c>
      <c r="F373" t="s">
        <v>1857</v>
      </c>
      <c r="G373" t="s">
        <v>1741</v>
      </c>
      <c r="H373" t="s">
        <v>2340</v>
      </c>
      <c r="I373" t="s">
        <v>2279</v>
      </c>
      <c r="J373" t="s">
        <v>2279</v>
      </c>
      <c r="K373" t="s">
        <v>2279</v>
      </c>
      <c r="L373" t="s">
        <v>2279</v>
      </c>
      <c r="M373" t="s">
        <v>2279</v>
      </c>
      <c r="N373" t="s">
        <v>2279</v>
      </c>
      <c r="O373" s="190" t="str">
        <f>"["&amp;$C373&amp;"]["&amp;$D373&amp;"]["&amp;$F373&amp;"]"</f>
        <v>[S05_DefaultValues][50][FuelMaterialType]</v>
      </c>
    </row>
    <row r="374" spans="1:15" x14ac:dyDescent="0.3">
      <c r="A374" t="s">
        <v>2277</v>
      </c>
      <c r="B374" t="s">
        <v>1847</v>
      </c>
      <c r="C374" t="s">
        <v>1855</v>
      </c>
      <c r="D374">
        <v>51</v>
      </c>
      <c r="E374" t="s">
        <v>1447</v>
      </c>
      <c r="F374" t="s">
        <v>1857</v>
      </c>
      <c r="G374" t="s">
        <v>1741</v>
      </c>
      <c r="H374" t="s">
        <v>2340</v>
      </c>
      <c r="I374" t="s">
        <v>2279</v>
      </c>
      <c r="J374" t="s">
        <v>2279</v>
      </c>
      <c r="K374" t="s">
        <v>2279</v>
      </c>
      <c r="L374" t="s">
        <v>2279</v>
      </c>
      <c r="M374" t="s">
        <v>2279</v>
      </c>
      <c r="N374" t="s">
        <v>2279</v>
      </c>
      <c r="O374" s="190" t="str">
        <f>"["&amp;$C374&amp;"]["&amp;$D374&amp;"]["&amp;$F374&amp;"]"</f>
        <v>[S05_DefaultValues][51][FuelMaterialType]</v>
      </c>
    </row>
    <row r="375" spans="1:15" x14ac:dyDescent="0.3">
      <c r="A375" t="s">
        <v>2277</v>
      </c>
      <c r="B375" t="s">
        <v>1847</v>
      </c>
      <c r="C375" t="s">
        <v>1855</v>
      </c>
      <c r="D375">
        <v>52</v>
      </c>
      <c r="E375" t="s">
        <v>1447</v>
      </c>
      <c r="F375" t="s">
        <v>1857</v>
      </c>
      <c r="G375" t="s">
        <v>1741</v>
      </c>
      <c r="H375" t="s">
        <v>2340</v>
      </c>
      <c r="I375" t="s">
        <v>2279</v>
      </c>
      <c r="J375" t="s">
        <v>2279</v>
      </c>
      <c r="K375" t="s">
        <v>2279</v>
      </c>
      <c r="L375" t="s">
        <v>2279</v>
      </c>
      <c r="M375" t="s">
        <v>2279</v>
      </c>
      <c r="N375" t="s">
        <v>2279</v>
      </c>
      <c r="O375" s="190" t="str">
        <f>"["&amp;$C375&amp;"]["&amp;$D375&amp;"]["&amp;$F375&amp;"]"</f>
        <v>[S05_DefaultValues][52][FuelMaterialType]</v>
      </c>
    </row>
    <row r="376" spans="1:15" x14ac:dyDescent="0.3">
      <c r="A376" t="s">
        <v>2277</v>
      </c>
      <c r="B376" t="s">
        <v>1847</v>
      </c>
      <c r="C376" t="s">
        <v>1855</v>
      </c>
      <c r="D376">
        <v>53</v>
      </c>
      <c r="E376" t="s">
        <v>1447</v>
      </c>
      <c r="F376" t="s">
        <v>1857</v>
      </c>
      <c r="G376" t="s">
        <v>1741</v>
      </c>
      <c r="H376" t="s">
        <v>2341</v>
      </c>
      <c r="I376" t="s">
        <v>2279</v>
      </c>
      <c r="J376" t="s">
        <v>2279</v>
      </c>
      <c r="K376" t="s">
        <v>2279</v>
      </c>
      <c r="L376" t="s">
        <v>2279</v>
      </c>
      <c r="M376" t="s">
        <v>2279</v>
      </c>
      <c r="N376" t="s">
        <v>2279</v>
      </c>
      <c r="O376" s="190" t="str">
        <f>"["&amp;$C376&amp;"]["&amp;$D376&amp;"]["&amp;$F376&amp;"]"</f>
        <v>[S05_DefaultValues][53][FuelMaterialType]</v>
      </c>
    </row>
    <row r="377" spans="1:15" x14ac:dyDescent="0.3">
      <c r="A377" t="s">
        <v>2277</v>
      </c>
      <c r="B377" t="s">
        <v>1847</v>
      </c>
      <c r="C377" t="s">
        <v>1855</v>
      </c>
      <c r="D377">
        <v>54</v>
      </c>
      <c r="E377" t="s">
        <v>1447</v>
      </c>
      <c r="F377" t="s">
        <v>1857</v>
      </c>
      <c r="G377" t="s">
        <v>1741</v>
      </c>
      <c r="H377" t="s">
        <v>2342</v>
      </c>
      <c r="I377" t="s">
        <v>2279</v>
      </c>
      <c r="J377" t="s">
        <v>2279</v>
      </c>
      <c r="K377" t="s">
        <v>2279</v>
      </c>
      <c r="L377" t="s">
        <v>2279</v>
      </c>
      <c r="M377" t="s">
        <v>2279</v>
      </c>
      <c r="N377" t="s">
        <v>2279</v>
      </c>
      <c r="O377" s="190" t="str">
        <f>"["&amp;$C377&amp;"]["&amp;$D377&amp;"]["&amp;$F377&amp;"]"</f>
        <v>[S05_DefaultValues][54][FuelMaterialType]</v>
      </c>
    </row>
    <row r="378" spans="1:15" x14ac:dyDescent="0.3">
      <c r="A378" t="s">
        <v>2277</v>
      </c>
      <c r="B378" t="s">
        <v>1847</v>
      </c>
      <c r="C378" t="s">
        <v>1855</v>
      </c>
      <c r="D378">
        <v>55</v>
      </c>
      <c r="E378" t="s">
        <v>1447</v>
      </c>
      <c r="F378" t="s">
        <v>1857</v>
      </c>
      <c r="G378" t="s">
        <v>1741</v>
      </c>
      <c r="H378" t="s">
        <v>2342</v>
      </c>
      <c r="I378" t="s">
        <v>2279</v>
      </c>
      <c r="J378" t="s">
        <v>2279</v>
      </c>
      <c r="K378" t="s">
        <v>2279</v>
      </c>
      <c r="L378" t="s">
        <v>2279</v>
      </c>
      <c r="M378" t="s">
        <v>2279</v>
      </c>
      <c r="N378" t="s">
        <v>2279</v>
      </c>
      <c r="O378" s="190" t="str">
        <f>"["&amp;$C378&amp;"]["&amp;$D378&amp;"]["&amp;$F378&amp;"]"</f>
        <v>[S05_DefaultValues][55][FuelMaterialType]</v>
      </c>
    </row>
    <row r="379" spans="1:15" x14ac:dyDescent="0.3">
      <c r="A379" t="s">
        <v>2277</v>
      </c>
      <c r="B379" t="s">
        <v>1847</v>
      </c>
      <c r="C379" t="s">
        <v>1855</v>
      </c>
      <c r="D379">
        <v>56</v>
      </c>
      <c r="E379" t="s">
        <v>1447</v>
      </c>
      <c r="F379" t="s">
        <v>1857</v>
      </c>
      <c r="G379" t="s">
        <v>1741</v>
      </c>
      <c r="H379" t="s">
        <v>2342</v>
      </c>
      <c r="I379" t="s">
        <v>2279</v>
      </c>
      <c r="J379" t="s">
        <v>2279</v>
      </c>
      <c r="K379" t="s">
        <v>2279</v>
      </c>
      <c r="L379" t="s">
        <v>2279</v>
      </c>
      <c r="M379" t="s">
        <v>2279</v>
      </c>
      <c r="N379" t="s">
        <v>2279</v>
      </c>
      <c r="O379" s="190" t="str">
        <f>"["&amp;$C379&amp;"]["&amp;$D379&amp;"]["&amp;$F379&amp;"]"</f>
        <v>[S05_DefaultValues][56][FuelMaterialType]</v>
      </c>
    </row>
    <row r="380" spans="1:15" x14ac:dyDescent="0.3">
      <c r="A380" t="s">
        <v>2277</v>
      </c>
      <c r="B380" t="s">
        <v>1847</v>
      </c>
      <c r="C380" t="s">
        <v>1855</v>
      </c>
      <c r="D380">
        <v>57</v>
      </c>
      <c r="E380" t="s">
        <v>1447</v>
      </c>
      <c r="F380" t="s">
        <v>1857</v>
      </c>
      <c r="G380" t="s">
        <v>1741</v>
      </c>
      <c r="H380" t="s">
        <v>2342</v>
      </c>
      <c r="I380" t="s">
        <v>2279</v>
      </c>
      <c r="J380" t="s">
        <v>2279</v>
      </c>
      <c r="K380" t="s">
        <v>2279</v>
      </c>
      <c r="L380" t="s">
        <v>2279</v>
      </c>
      <c r="M380" t="s">
        <v>2279</v>
      </c>
      <c r="N380" t="s">
        <v>2279</v>
      </c>
      <c r="O380" s="190" t="str">
        <f>"["&amp;$C380&amp;"]["&amp;$D380&amp;"]["&amp;$F380&amp;"]"</f>
        <v>[S05_DefaultValues][57][FuelMaterialType]</v>
      </c>
    </row>
    <row r="381" spans="1:15" x14ac:dyDescent="0.3">
      <c r="A381" t="s">
        <v>2277</v>
      </c>
      <c r="B381" t="s">
        <v>1847</v>
      </c>
      <c r="C381" t="s">
        <v>1855</v>
      </c>
      <c r="D381">
        <v>58</v>
      </c>
      <c r="E381" t="s">
        <v>1447</v>
      </c>
      <c r="F381" t="s">
        <v>1857</v>
      </c>
      <c r="G381" t="s">
        <v>1741</v>
      </c>
      <c r="H381" t="s">
        <v>2343</v>
      </c>
      <c r="I381" t="s">
        <v>2279</v>
      </c>
      <c r="J381" t="s">
        <v>2279</v>
      </c>
      <c r="K381" t="s">
        <v>2279</v>
      </c>
      <c r="L381" t="s">
        <v>2279</v>
      </c>
      <c r="M381" t="s">
        <v>2279</v>
      </c>
      <c r="N381" t="s">
        <v>2279</v>
      </c>
      <c r="O381" s="190" t="str">
        <f>"["&amp;$C381&amp;"]["&amp;$D381&amp;"]["&amp;$F381&amp;"]"</f>
        <v>[S05_DefaultValues][58][FuelMaterialType]</v>
      </c>
    </row>
    <row r="382" spans="1:15" x14ac:dyDescent="0.3">
      <c r="A382" t="s">
        <v>2277</v>
      </c>
      <c r="B382" t="s">
        <v>1847</v>
      </c>
      <c r="C382" t="s">
        <v>1855</v>
      </c>
      <c r="D382">
        <v>59</v>
      </c>
      <c r="E382" t="s">
        <v>1447</v>
      </c>
      <c r="F382" t="s">
        <v>1857</v>
      </c>
      <c r="G382" t="s">
        <v>1741</v>
      </c>
      <c r="H382" t="s">
        <v>2343</v>
      </c>
      <c r="I382" t="s">
        <v>2279</v>
      </c>
      <c r="J382" t="s">
        <v>2279</v>
      </c>
      <c r="K382" t="s">
        <v>2279</v>
      </c>
      <c r="L382" t="s">
        <v>2279</v>
      </c>
      <c r="M382" t="s">
        <v>2279</v>
      </c>
      <c r="N382" t="s">
        <v>2279</v>
      </c>
      <c r="O382" s="190" t="str">
        <f>"["&amp;$C382&amp;"]["&amp;$D382&amp;"]["&amp;$F382&amp;"]"</f>
        <v>[S05_DefaultValues][59][FuelMaterialType]</v>
      </c>
    </row>
    <row r="383" spans="1:15" x14ac:dyDescent="0.3">
      <c r="A383" t="s">
        <v>2277</v>
      </c>
      <c r="B383" t="s">
        <v>1847</v>
      </c>
      <c r="C383" t="s">
        <v>1855</v>
      </c>
      <c r="D383">
        <v>60</v>
      </c>
      <c r="E383" t="s">
        <v>1447</v>
      </c>
      <c r="F383" t="s">
        <v>1857</v>
      </c>
      <c r="G383" t="s">
        <v>1741</v>
      </c>
      <c r="H383" t="s">
        <v>2343</v>
      </c>
      <c r="I383" t="s">
        <v>2279</v>
      </c>
      <c r="J383" t="s">
        <v>2279</v>
      </c>
      <c r="K383" t="s">
        <v>2279</v>
      </c>
      <c r="L383" t="s">
        <v>2279</v>
      </c>
      <c r="M383" t="s">
        <v>2279</v>
      </c>
      <c r="N383" t="s">
        <v>2279</v>
      </c>
      <c r="O383" s="190" t="str">
        <f>"["&amp;$C383&amp;"]["&amp;$D383&amp;"]["&amp;$F383&amp;"]"</f>
        <v>[S05_DefaultValues][60][FuelMaterialType]</v>
      </c>
    </row>
    <row r="384" spans="1:15" x14ac:dyDescent="0.3">
      <c r="A384" t="s">
        <v>2277</v>
      </c>
      <c r="B384" t="s">
        <v>1847</v>
      </c>
      <c r="C384" t="s">
        <v>1855</v>
      </c>
      <c r="D384">
        <v>61</v>
      </c>
      <c r="E384" t="s">
        <v>1447</v>
      </c>
      <c r="F384" t="s">
        <v>1857</v>
      </c>
      <c r="G384" t="s">
        <v>1741</v>
      </c>
      <c r="H384" t="s">
        <v>2344</v>
      </c>
      <c r="I384" t="s">
        <v>2279</v>
      </c>
      <c r="J384" t="s">
        <v>2279</v>
      </c>
      <c r="K384" t="s">
        <v>2279</v>
      </c>
      <c r="L384" t="s">
        <v>2279</v>
      </c>
      <c r="M384" t="s">
        <v>2279</v>
      </c>
      <c r="N384" t="s">
        <v>2279</v>
      </c>
      <c r="O384" s="190" t="str">
        <f>"["&amp;$C384&amp;"]["&amp;$D384&amp;"]["&amp;$F384&amp;"]"</f>
        <v>[S05_DefaultValues][61][FuelMaterialType]</v>
      </c>
    </row>
    <row r="385" spans="1:15" x14ac:dyDescent="0.3">
      <c r="A385" t="s">
        <v>2277</v>
      </c>
      <c r="B385" t="s">
        <v>1847</v>
      </c>
      <c r="C385" t="s">
        <v>1855</v>
      </c>
      <c r="D385">
        <v>62</v>
      </c>
      <c r="E385" t="s">
        <v>1447</v>
      </c>
      <c r="F385" t="s">
        <v>1857</v>
      </c>
      <c r="G385" t="s">
        <v>1741</v>
      </c>
      <c r="H385" t="s">
        <v>2344</v>
      </c>
      <c r="I385" t="s">
        <v>2279</v>
      </c>
      <c r="J385" t="s">
        <v>2279</v>
      </c>
      <c r="K385" t="s">
        <v>2279</v>
      </c>
      <c r="L385" t="s">
        <v>2279</v>
      </c>
      <c r="M385" t="s">
        <v>2279</v>
      </c>
      <c r="N385" t="s">
        <v>2279</v>
      </c>
      <c r="O385" s="190" t="str">
        <f>"["&amp;$C385&amp;"]["&amp;$D385&amp;"]["&amp;$F385&amp;"]"</f>
        <v>[S05_DefaultValues][62][FuelMaterialType]</v>
      </c>
    </row>
    <row r="386" spans="1:15" x14ac:dyDescent="0.3">
      <c r="A386" t="s">
        <v>2277</v>
      </c>
      <c r="B386" t="s">
        <v>1847</v>
      </c>
      <c r="C386" t="s">
        <v>1855</v>
      </c>
      <c r="D386">
        <v>63</v>
      </c>
      <c r="E386" t="s">
        <v>1447</v>
      </c>
      <c r="F386" t="s">
        <v>1857</v>
      </c>
      <c r="G386" t="s">
        <v>1741</v>
      </c>
      <c r="H386" t="s">
        <v>2345</v>
      </c>
      <c r="I386" t="s">
        <v>2279</v>
      </c>
      <c r="J386" t="s">
        <v>2279</v>
      </c>
      <c r="K386" t="s">
        <v>2279</v>
      </c>
      <c r="L386" t="s">
        <v>2279</v>
      </c>
      <c r="M386" t="s">
        <v>2279</v>
      </c>
      <c r="N386" t="s">
        <v>2279</v>
      </c>
      <c r="O386" s="190" t="str">
        <f>"["&amp;$C386&amp;"]["&amp;$D386&amp;"]["&amp;$F386&amp;"]"</f>
        <v>[S05_DefaultValues][63][FuelMaterialType]</v>
      </c>
    </row>
    <row r="387" spans="1:15" x14ac:dyDescent="0.3">
      <c r="A387" t="s">
        <v>2277</v>
      </c>
      <c r="B387" t="s">
        <v>1847</v>
      </c>
      <c r="C387" t="s">
        <v>1855</v>
      </c>
      <c r="D387">
        <v>64</v>
      </c>
      <c r="E387" t="s">
        <v>1447</v>
      </c>
      <c r="F387" t="s">
        <v>1857</v>
      </c>
      <c r="G387" t="s">
        <v>1741</v>
      </c>
      <c r="H387" t="s">
        <v>2346</v>
      </c>
      <c r="I387" t="s">
        <v>2279</v>
      </c>
      <c r="J387" t="s">
        <v>2279</v>
      </c>
      <c r="K387" t="s">
        <v>2279</v>
      </c>
      <c r="L387" t="s">
        <v>2279</v>
      </c>
      <c r="M387" t="s">
        <v>2279</v>
      </c>
      <c r="N387" t="s">
        <v>2279</v>
      </c>
      <c r="O387" s="190" t="str">
        <f>"["&amp;$C387&amp;"]["&amp;$D387&amp;"]["&amp;$F387&amp;"]"</f>
        <v>[S05_DefaultValues][64][FuelMaterialType]</v>
      </c>
    </row>
    <row r="388" spans="1:15" x14ac:dyDescent="0.3">
      <c r="A388" t="s">
        <v>2277</v>
      </c>
      <c r="B388" t="s">
        <v>1847</v>
      </c>
      <c r="C388" t="s">
        <v>1855</v>
      </c>
      <c r="D388">
        <v>65</v>
      </c>
      <c r="E388" t="s">
        <v>1447</v>
      </c>
      <c r="F388" t="s">
        <v>1857</v>
      </c>
      <c r="G388" t="s">
        <v>1741</v>
      </c>
      <c r="H388" t="s">
        <v>2347</v>
      </c>
      <c r="I388" t="s">
        <v>2279</v>
      </c>
      <c r="J388" t="s">
        <v>2279</v>
      </c>
      <c r="K388" t="s">
        <v>2279</v>
      </c>
      <c r="L388" t="s">
        <v>2279</v>
      </c>
      <c r="M388" t="s">
        <v>2279</v>
      </c>
      <c r="N388" t="s">
        <v>2279</v>
      </c>
      <c r="O388" s="190" t="str">
        <f>"["&amp;$C388&amp;"]["&amp;$D388&amp;"]["&amp;$F388&amp;"]"</f>
        <v>[S05_DefaultValues][65][FuelMaterialType]</v>
      </c>
    </row>
    <row r="389" spans="1:15" x14ac:dyDescent="0.3">
      <c r="A389" t="s">
        <v>2277</v>
      </c>
      <c r="B389" t="s">
        <v>1847</v>
      </c>
      <c r="C389" t="s">
        <v>1855</v>
      </c>
      <c r="D389">
        <v>66</v>
      </c>
      <c r="E389" t="s">
        <v>1447</v>
      </c>
      <c r="F389" t="s">
        <v>1857</v>
      </c>
      <c r="G389" t="s">
        <v>1741</v>
      </c>
      <c r="H389" t="s">
        <v>2347</v>
      </c>
      <c r="I389" t="s">
        <v>2279</v>
      </c>
      <c r="J389" t="s">
        <v>2279</v>
      </c>
      <c r="K389" t="s">
        <v>2279</v>
      </c>
      <c r="L389" t="s">
        <v>2279</v>
      </c>
      <c r="M389" t="s">
        <v>2279</v>
      </c>
      <c r="N389" t="s">
        <v>2279</v>
      </c>
      <c r="O389" s="190" t="str">
        <f>"["&amp;$C389&amp;"]["&amp;$D389&amp;"]["&amp;$F389&amp;"]"</f>
        <v>[S05_DefaultValues][66][FuelMaterialType]</v>
      </c>
    </row>
    <row r="390" spans="1:15" x14ac:dyDescent="0.3">
      <c r="A390" t="s">
        <v>2277</v>
      </c>
      <c r="B390" t="s">
        <v>1847</v>
      </c>
      <c r="C390" t="s">
        <v>1855</v>
      </c>
      <c r="D390">
        <v>67</v>
      </c>
      <c r="E390" t="s">
        <v>1447</v>
      </c>
      <c r="F390" t="s">
        <v>1857</v>
      </c>
      <c r="G390" t="s">
        <v>1741</v>
      </c>
      <c r="H390" t="s">
        <v>212</v>
      </c>
      <c r="I390" t="s">
        <v>2279</v>
      </c>
      <c r="J390" t="s">
        <v>2279</v>
      </c>
      <c r="K390" t="s">
        <v>2279</v>
      </c>
      <c r="L390" t="s">
        <v>2279</v>
      </c>
      <c r="M390" t="s">
        <v>2279</v>
      </c>
      <c r="N390" t="s">
        <v>2279</v>
      </c>
      <c r="O390" s="190" t="str">
        <f>"["&amp;$C390&amp;"]["&amp;$D390&amp;"]["&amp;$F390&amp;"]"</f>
        <v>[S05_DefaultValues][67][FuelMaterialType]</v>
      </c>
    </row>
    <row r="391" spans="1:15" x14ac:dyDescent="0.3">
      <c r="A391" t="s">
        <v>2277</v>
      </c>
      <c r="B391" t="s">
        <v>1847</v>
      </c>
      <c r="C391" t="s">
        <v>1855</v>
      </c>
      <c r="D391">
        <v>68</v>
      </c>
      <c r="E391" t="s">
        <v>1447</v>
      </c>
      <c r="F391" t="s">
        <v>1857</v>
      </c>
      <c r="G391" t="s">
        <v>1741</v>
      </c>
      <c r="H391" t="s">
        <v>2348</v>
      </c>
      <c r="I391" t="s">
        <v>2279</v>
      </c>
      <c r="J391" t="s">
        <v>2279</v>
      </c>
      <c r="K391" t="s">
        <v>2279</v>
      </c>
      <c r="L391" t="s">
        <v>2279</v>
      </c>
      <c r="M391" t="s">
        <v>2279</v>
      </c>
      <c r="N391" t="s">
        <v>2279</v>
      </c>
      <c r="O391" s="190" t="str">
        <f>"["&amp;$C391&amp;"]["&amp;$D391&amp;"]["&amp;$F391&amp;"]"</f>
        <v>[S05_DefaultValues][68][FuelMaterialType]</v>
      </c>
    </row>
    <row r="392" spans="1:15" x14ac:dyDescent="0.3">
      <c r="A392" t="s">
        <v>2277</v>
      </c>
      <c r="B392" t="s">
        <v>1847</v>
      </c>
      <c r="C392" t="s">
        <v>1855</v>
      </c>
      <c r="D392">
        <v>69</v>
      </c>
      <c r="E392" t="s">
        <v>1447</v>
      </c>
      <c r="F392" t="s">
        <v>1857</v>
      </c>
      <c r="G392" t="s">
        <v>1741</v>
      </c>
      <c r="H392" t="s">
        <v>2349</v>
      </c>
      <c r="I392" t="s">
        <v>2279</v>
      </c>
      <c r="J392" t="s">
        <v>2279</v>
      </c>
      <c r="K392" t="s">
        <v>2279</v>
      </c>
      <c r="L392" t="s">
        <v>2279</v>
      </c>
      <c r="M392" t="s">
        <v>2279</v>
      </c>
      <c r="N392" t="s">
        <v>2279</v>
      </c>
      <c r="O392" s="190" t="str">
        <f>"["&amp;$C392&amp;"]["&amp;$D392&amp;"]["&amp;$F392&amp;"]"</f>
        <v>[S05_DefaultValues][69][FuelMaterialType]</v>
      </c>
    </row>
    <row r="393" spans="1:15" x14ac:dyDescent="0.3">
      <c r="A393" t="s">
        <v>2277</v>
      </c>
      <c r="B393" t="s">
        <v>1847</v>
      </c>
      <c r="C393" t="s">
        <v>1855</v>
      </c>
      <c r="D393">
        <v>70</v>
      </c>
      <c r="E393" t="s">
        <v>1447</v>
      </c>
      <c r="F393" t="s">
        <v>1857</v>
      </c>
      <c r="G393" t="s">
        <v>1741</v>
      </c>
      <c r="H393" t="s">
        <v>2349</v>
      </c>
      <c r="I393" t="s">
        <v>2279</v>
      </c>
      <c r="J393" t="s">
        <v>2279</v>
      </c>
      <c r="K393" t="s">
        <v>2279</v>
      </c>
      <c r="L393" t="s">
        <v>2279</v>
      </c>
      <c r="M393" t="s">
        <v>2279</v>
      </c>
      <c r="N393" t="s">
        <v>2279</v>
      </c>
      <c r="O393" s="190" t="str">
        <f>"["&amp;$C393&amp;"]["&amp;$D393&amp;"]["&amp;$F393&amp;"]"</f>
        <v>[S05_DefaultValues][70][FuelMaterialType]</v>
      </c>
    </row>
    <row r="394" spans="1:15" x14ac:dyDescent="0.3">
      <c r="A394" t="s">
        <v>2277</v>
      </c>
      <c r="B394" t="s">
        <v>1847</v>
      </c>
      <c r="C394" t="s">
        <v>1855</v>
      </c>
      <c r="D394">
        <v>71</v>
      </c>
      <c r="E394" t="s">
        <v>1447</v>
      </c>
      <c r="F394" t="s">
        <v>1857</v>
      </c>
      <c r="G394" t="s">
        <v>1741</v>
      </c>
      <c r="H394" t="s">
        <v>2349</v>
      </c>
      <c r="I394" t="s">
        <v>2279</v>
      </c>
      <c r="J394" t="s">
        <v>2279</v>
      </c>
      <c r="K394" t="s">
        <v>2279</v>
      </c>
      <c r="L394" t="s">
        <v>2279</v>
      </c>
      <c r="M394" t="s">
        <v>2279</v>
      </c>
      <c r="N394" t="s">
        <v>2279</v>
      </c>
      <c r="O394" s="190" t="str">
        <f>"["&amp;$C394&amp;"]["&amp;$D394&amp;"]["&amp;$F394&amp;"]"</f>
        <v>[S05_DefaultValues][71][FuelMaterialType]</v>
      </c>
    </row>
    <row r="395" spans="1:15" x14ac:dyDescent="0.3">
      <c r="A395" t="s">
        <v>2277</v>
      </c>
      <c r="B395" t="s">
        <v>1847</v>
      </c>
      <c r="C395" t="s">
        <v>1855</v>
      </c>
      <c r="D395">
        <v>72</v>
      </c>
      <c r="E395" t="s">
        <v>1447</v>
      </c>
      <c r="F395" t="s">
        <v>1857</v>
      </c>
      <c r="G395" t="s">
        <v>1741</v>
      </c>
      <c r="H395" t="s">
        <v>2349</v>
      </c>
      <c r="I395" t="s">
        <v>2279</v>
      </c>
      <c r="J395" t="s">
        <v>2279</v>
      </c>
      <c r="K395" t="s">
        <v>2279</v>
      </c>
      <c r="L395" t="s">
        <v>2279</v>
      </c>
      <c r="M395" t="s">
        <v>2279</v>
      </c>
      <c r="N395" t="s">
        <v>2279</v>
      </c>
      <c r="O395" s="190" t="str">
        <f>"["&amp;$C395&amp;"]["&amp;$D395&amp;"]["&amp;$F395&amp;"]"</f>
        <v>[S05_DefaultValues][72][FuelMaterialType]</v>
      </c>
    </row>
    <row r="396" spans="1:15" x14ac:dyDescent="0.3">
      <c r="A396" t="s">
        <v>2277</v>
      </c>
      <c r="B396" t="s">
        <v>1847</v>
      </c>
      <c r="C396" t="s">
        <v>1855</v>
      </c>
      <c r="D396">
        <v>73</v>
      </c>
      <c r="E396" t="s">
        <v>1447</v>
      </c>
      <c r="F396" t="s">
        <v>1857</v>
      </c>
      <c r="G396" t="s">
        <v>1741</v>
      </c>
      <c r="H396" t="s">
        <v>2350</v>
      </c>
      <c r="I396" t="s">
        <v>2279</v>
      </c>
      <c r="J396" t="s">
        <v>2279</v>
      </c>
      <c r="K396" t="s">
        <v>2279</v>
      </c>
      <c r="L396" t="s">
        <v>2279</v>
      </c>
      <c r="M396" t="s">
        <v>2279</v>
      </c>
      <c r="N396" t="s">
        <v>2279</v>
      </c>
      <c r="O396" s="190" t="str">
        <f>"["&amp;$C396&amp;"]["&amp;$D396&amp;"]["&amp;$F396&amp;"]"</f>
        <v>[S05_DefaultValues][73][FuelMaterialType]</v>
      </c>
    </row>
    <row r="397" spans="1:15" x14ac:dyDescent="0.3">
      <c r="A397" t="s">
        <v>2277</v>
      </c>
      <c r="B397" t="s">
        <v>1847</v>
      </c>
      <c r="C397" t="s">
        <v>1855</v>
      </c>
      <c r="D397">
        <v>74</v>
      </c>
      <c r="E397" t="s">
        <v>1447</v>
      </c>
      <c r="F397" t="s">
        <v>1857</v>
      </c>
      <c r="G397" t="s">
        <v>1741</v>
      </c>
      <c r="H397" t="s">
        <v>2350</v>
      </c>
      <c r="I397" t="s">
        <v>2279</v>
      </c>
      <c r="J397" t="s">
        <v>2279</v>
      </c>
      <c r="K397" t="s">
        <v>2279</v>
      </c>
      <c r="L397" t="s">
        <v>2279</v>
      </c>
      <c r="M397" t="s">
        <v>2279</v>
      </c>
      <c r="N397" t="s">
        <v>2279</v>
      </c>
      <c r="O397" s="190" t="str">
        <f>"["&amp;$C397&amp;"]["&amp;$D397&amp;"]["&amp;$F397&amp;"]"</f>
        <v>[S05_DefaultValues][74][FuelMaterialType]</v>
      </c>
    </row>
    <row r="398" spans="1:15" x14ac:dyDescent="0.3">
      <c r="A398" t="s">
        <v>2277</v>
      </c>
      <c r="B398" t="s">
        <v>1847</v>
      </c>
      <c r="C398" t="s">
        <v>1855</v>
      </c>
      <c r="D398">
        <v>75</v>
      </c>
      <c r="E398" t="s">
        <v>1447</v>
      </c>
      <c r="F398" t="s">
        <v>1857</v>
      </c>
      <c r="G398" t="s">
        <v>1741</v>
      </c>
      <c r="H398" t="s">
        <v>2351</v>
      </c>
      <c r="I398" t="s">
        <v>2279</v>
      </c>
      <c r="J398" t="s">
        <v>2279</v>
      </c>
      <c r="K398" t="s">
        <v>2279</v>
      </c>
      <c r="L398" t="s">
        <v>2279</v>
      </c>
      <c r="M398" t="s">
        <v>2279</v>
      </c>
      <c r="N398" t="s">
        <v>2279</v>
      </c>
      <c r="O398" s="190" t="str">
        <f>"["&amp;$C398&amp;"]["&amp;$D398&amp;"]["&amp;$F398&amp;"]"</f>
        <v>[S05_DefaultValues][75][FuelMaterialType]</v>
      </c>
    </row>
    <row r="399" spans="1:15" x14ac:dyDescent="0.3">
      <c r="A399" t="s">
        <v>2277</v>
      </c>
      <c r="B399" t="s">
        <v>1847</v>
      </c>
      <c r="C399" t="s">
        <v>1855</v>
      </c>
      <c r="D399">
        <v>76</v>
      </c>
      <c r="E399" t="s">
        <v>1447</v>
      </c>
      <c r="F399" t="s">
        <v>1857</v>
      </c>
      <c r="G399" t="s">
        <v>1741</v>
      </c>
      <c r="H399" t="s">
        <v>2351</v>
      </c>
      <c r="I399" t="s">
        <v>2279</v>
      </c>
      <c r="J399" t="s">
        <v>2279</v>
      </c>
      <c r="K399" t="s">
        <v>2279</v>
      </c>
      <c r="L399" t="s">
        <v>2279</v>
      </c>
      <c r="M399" t="s">
        <v>2279</v>
      </c>
      <c r="N399" t="s">
        <v>2279</v>
      </c>
      <c r="O399" s="190" t="str">
        <f>"["&amp;$C399&amp;"]["&amp;$D399&amp;"]["&amp;$F399&amp;"]"</f>
        <v>[S05_DefaultValues][76][FuelMaterialType]</v>
      </c>
    </row>
    <row r="400" spans="1:15" x14ac:dyDescent="0.3">
      <c r="A400" t="s">
        <v>2277</v>
      </c>
      <c r="B400" t="s">
        <v>1847</v>
      </c>
      <c r="C400" t="s">
        <v>1855</v>
      </c>
      <c r="D400">
        <v>77</v>
      </c>
      <c r="E400" t="s">
        <v>1447</v>
      </c>
      <c r="F400" t="s">
        <v>1857</v>
      </c>
      <c r="G400" t="s">
        <v>1741</v>
      </c>
      <c r="H400" t="s">
        <v>2351</v>
      </c>
      <c r="I400" t="s">
        <v>2279</v>
      </c>
      <c r="J400" t="s">
        <v>2279</v>
      </c>
      <c r="K400" t="s">
        <v>2279</v>
      </c>
      <c r="L400" t="s">
        <v>2279</v>
      </c>
      <c r="M400" t="s">
        <v>2279</v>
      </c>
      <c r="N400" t="s">
        <v>2279</v>
      </c>
      <c r="O400" s="190" t="str">
        <f>"["&amp;$C400&amp;"]["&amp;$D400&amp;"]["&amp;$F400&amp;"]"</f>
        <v>[S05_DefaultValues][77][FuelMaterialType]</v>
      </c>
    </row>
    <row r="401" spans="1:15" x14ac:dyDescent="0.3">
      <c r="A401" t="s">
        <v>2277</v>
      </c>
      <c r="B401" t="s">
        <v>1847</v>
      </c>
      <c r="C401" t="s">
        <v>1855</v>
      </c>
      <c r="D401">
        <v>78</v>
      </c>
      <c r="E401" t="s">
        <v>1447</v>
      </c>
      <c r="F401" t="s">
        <v>1857</v>
      </c>
      <c r="G401" t="s">
        <v>1741</v>
      </c>
      <c r="H401" t="s">
        <v>2351</v>
      </c>
      <c r="I401" t="s">
        <v>2279</v>
      </c>
      <c r="J401" t="s">
        <v>2279</v>
      </c>
      <c r="K401" t="s">
        <v>2279</v>
      </c>
      <c r="L401" t="s">
        <v>2279</v>
      </c>
      <c r="M401" t="s">
        <v>2279</v>
      </c>
      <c r="N401" t="s">
        <v>2279</v>
      </c>
      <c r="O401" s="190" t="str">
        <f>"["&amp;$C401&amp;"]["&amp;$D401&amp;"]["&amp;$F401&amp;"]"</f>
        <v>[S05_DefaultValues][78][FuelMaterialType]</v>
      </c>
    </row>
    <row r="402" spans="1:15" x14ac:dyDescent="0.3">
      <c r="A402" t="s">
        <v>2277</v>
      </c>
      <c r="B402" t="s">
        <v>1847</v>
      </c>
      <c r="C402" t="s">
        <v>1855</v>
      </c>
      <c r="D402">
        <v>79</v>
      </c>
      <c r="E402" t="s">
        <v>1447</v>
      </c>
      <c r="F402" t="s">
        <v>1857</v>
      </c>
      <c r="G402" t="s">
        <v>1741</v>
      </c>
      <c r="H402" t="s">
        <v>2352</v>
      </c>
      <c r="I402" t="s">
        <v>2279</v>
      </c>
      <c r="J402" t="s">
        <v>2279</v>
      </c>
      <c r="K402" t="s">
        <v>2279</v>
      </c>
      <c r="L402" t="s">
        <v>2279</v>
      </c>
      <c r="M402" t="s">
        <v>2279</v>
      </c>
      <c r="N402" t="s">
        <v>2279</v>
      </c>
      <c r="O402" s="190" t="str">
        <f>"["&amp;$C402&amp;"]["&amp;$D402&amp;"]["&amp;$F402&amp;"]"</f>
        <v>[S05_DefaultValues][79][FuelMaterialType]</v>
      </c>
    </row>
    <row r="403" spans="1:15" x14ac:dyDescent="0.3">
      <c r="A403" t="s">
        <v>2277</v>
      </c>
      <c r="B403" t="s">
        <v>1847</v>
      </c>
      <c r="C403" t="s">
        <v>1855</v>
      </c>
      <c r="D403">
        <v>80</v>
      </c>
      <c r="E403" t="s">
        <v>1447</v>
      </c>
      <c r="F403" t="s">
        <v>1857</v>
      </c>
      <c r="G403" t="s">
        <v>1741</v>
      </c>
      <c r="H403" t="s">
        <v>2352</v>
      </c>
      <c r="I403" t="s">
        <v>2279</v>
      </c>
      <c r="J403" t="s">
        <v>2279</v>
      </c>
      <c r="K403" t="s">
        <v>2279</v>
      </c>
      <c r="L403" t="s">
        <v>2279</v>
      </c>
      <c r="M403" t="s">
        <v>2279</v>
      </c>
      <c r="N403" t="s">
        <v>2279</v>
      </c>
      <c r="O403" s="190" t="str">
        <f>"["&amp;$C403&amp;"]["&amp;$D403&amp;"]["&amp;$F403&amp;"]"</f>
        <v>[S05_DefaultValues][80][FuelMaterialType]</v>
      </c>
    </row>
    <row r="404" spans="1:15" x14ac:dyDescent="0.3">
      <c r="A404" t="s">
        <v>2277</v>
      </c>
      <c r="B404" t="s">
        <v>1847</v>
      </c>
      <c r="C404" t="s">
        <v>1855</v>
      </c>
      <c r="D404">
        <v>81</v>
      </c>
      <c r="E404" t="s">
        <v>1447</v>
      </c>
      <c r="F404" t="s">
        <v>1857</v>
      </c>
      <c r="G404" t="s">
        <v>1741</v>
      </c>
      <c r="H404" t="s">
        <v>849</v>
      </c>
      <c r="I404" t="s">
        <v>2279</v>
      </c>
      <c r="J404" t="s">
        <v>2279</v>
      </c>
      <c r="K404" t="s">
        <v>2279</v>
      </c>
      <c r="L404" t="s">
        <v>2279</v>
      </c>
      <c r="M404" t="s">
        <v>2279</v>
      </c>
      <c r="N404" t="s">
        <v>2279</v>
      </c>
      <c r="O404" s="190" t="str">
        <f>"["&amp;$C404&amp;"]["&amp;$D404&amp;"]["&amp;$F404&amp;"]"</f>
        <v>[S05_DefaultValues][81][FuelMaterialType]</v>
      </c>
    </row>
    <row r="405" spans="1:15" x14ac:dyDescent="0.3">
      <c r="A405" t="s">
        <v>2277</v>
      </c>
      <c r="B405" t="s">
        <v>1847</v>
      </c>
      <c r="C405" t="s">
        <v>1855</v>
      </c>
      <c r="D405">
        <v>82</v>
      </c>
      <c r="E405" t="s">
        <v>1447</v>
      </c>
      <c r="F405" t="s">
        <v>1857</v>
      </c>
      <c r="G405" t="s">
        <v>1741</v>
      </c>
      <c r="H405" t="s">
        <v>2347</v>
      </c>
      <c r="I405" t="s">
        <v>2279</v>
      </c>
      <c r="J405" t="s">
        <v>2279</v>
      </c>
      <c r="K405" t="s">
        <v>2279</v>
      </c>
      <c r="L405" t="s">
        <v>2279</v>
      </c>
      <c r="M405" t="s">
        <v>2279</v>
      </c>
      <c r="N405" t="s">
        <v>2279</v>
      </c>
      <c r="O405" s="190" t="str">
        <f>"["&amp;$C405&amp;"]["&amp;$D405&amp;"]["&amp;$F405&amp;"]"</f>
        <v>[S05_DefaultValues][82][FuelMaterialType]</v>
      </c>
    </row>
    <row r="406" spans="1:15" x14ac:dyDescent="0.3">
      <c r="A406" t="s">
        <v>2277</v>
      </c>
      <c r="B406" t="s">
        <v>1847</v>
      </c>
      <c r="C406" t="s">
        <v>1855</v>
      </c>
      <c r="D406">
        <v>83</v>
      </c>
      <c r="E406" t="s">
        <v>1447</v>
      </c>
      <c r="F406" t="s">
        <v>1857</v>
      </c>
      <c r="G406" t="s">
        <v>1741</v>
      </c>
      <c r="H406" t="s">
        <v>2352</v>
      </c>
      <c r="I406" t="s">
        <v>2279</v>
      </c>
      <c r="J406" t="s">
        <v>2279</v>
      </c>
      <c r="K406" t="s">
        <v>2279</v>
      </c>
      <c r="L406" t="s">
        <v>2279</v>
      </c>
      <c r="M406" t="s">
        <v>2279</v>
      </c>
      <c r="N406" t="s">
        <v>2279</v>
      </c>
      <c r="O406" s="190" t="str">
        <f>"["&amp;$C406&amp;"]["&amp;$D406&amp;"]["&amp;$F406&amp;"]"</f>
        <v>[S05_DefaultValues][83][FuelMaterialType]</v>
      </c>
    </row>
    <row r="407" spans="1:15" x14ac:dyDescent="0.3">
      <c r="A407" t="s">
        <v>2277</v>
      </c>
      <c r="B407" t="s">
        <v>1847</v>
      </c>
      <c r="C407" t="s">
        <v>1855</v>
      </c>
      <c r="D407">
        <v>1</v>
      </c>
      <c r="E407" t="s">
        <v>1447</v>
      </c>
      <c r="F407" t="s">
        <v>1858</v>
      </c>
      <c r="G407" t="s">
        <v>1748</v>
      </c>
      <c r="H407" t="s">
        <v>2279</v>
      </c>
      <c r="I407">
        <v>2</v>
      </c>
      <c r="J407" t="s">
        <v>2279</v>
      </c>
      <c r="K407" t="s">
        <v>2279</v>
      </c>
      <c r="L407" t="s">
        <v>2279</v>
      </c>
      <c r="M407" t="s">
        <v>2279</v>
      </c>
      <c r="N407" t="s">
        <v>2279</v>
      </c>
      <c r="O407" s="190" t="str">
        <f>"["&amp;$C407&amp;"]["&amp;$D407&amp;"]["&amp;$F407&amp;"]"</f>
        <v>[S05_DefaultValues][1][InstallationNumber]</v>
      </c>
    </row>
    <row r="408" spans="1:15" x14ac:dyDescent="0.3">
      <c r="A408" t="s">
        <v>2277</v>
      </c>
      <c r="B408" t="s">
        <v>1847</v>
      </c>
      <c r="C408" t="s">
        <v>1855</v>
      </c>
      <c r="D408">
        <v>2</v>
      </c>
      <c r="E408" t="s">
        <v>1447</v>
      </c>
      <c r="F408" t="s">
        <v>1858</v>
      </c>
      <c r="G408" t="s">
        <v>1748</v>
      </c>
      <c r="H408" t="s">
        <v>2279</v>
      </c>
      <c r="I408">
        <v>4</v>
      </c>
      <c r="J408" t="s">
        <v>2279</v>
      </c>
      <c r="K408" t="s">
        <v>2279</v>
      </c>
      <c r="L408" t="s">
        <v>2279</v>
      </c>
      <c r="M408" t="s">
        <v>2279</v>
      </c>
      <c r="N408" t="s">
        <v>2279</v>
      </c>
      <c r="O408" s="190" t="str">
        <f>"["&amp;$C408&amp;"]["&amp;$D408&amp;"]["&amp;$F408&amp;"]"</f>
        <v>[S05_DefaultValues][2][InstallationNumber]</v>
      </c>
    </row>
    <row r="409" spans="1:15" x14ac:dyDescent="0.3">
      <c r="A409" t="s">
        <v>2277</v>
      </c>
      <c r="B409" t="s">
        <v>1847</v>
      </c>
      <c r="C409" t="s">
        <v>1855</v>
      </c>
      <c r="D409">
        <v>3</v>
      </c>
      <c r="E409" t="s">
        <v>1447</v>
      </c>
      <c r="F409" t="s">
        <v>1858</v>
      </c>
      <c r="G409" t="s">
        <v>1748</v>
      </c>
      <c r="H409" t="s">
        <v>2279</v>
      </c>
      <c r="I409">
        <v>18</v>
      </c>
      <c r="J409" t="s">
        <v>2279</v>
      </c>
      <c r="K409" t="s">
        <v>2279</v>
      </c>
      <c r="L409" t="s">
        <v>2279</v>
      </c>
      <c r="M409" t="s">
        <v>2279</v>
      </c>
      <c r="N409" t="s">
        <v>2279</v>
      </c>
      <c r="O409" s="190" t="str">
        <f>"["&amp;$C409&amp;"]["&amp;$D409&amp;"]["&amp;$F409&amp;"]"</f>
        <v>[S05_DefaultValues][3][InstallationNumber]</v>
      </c>
    </row>
    <row r="410" spans="1:15" x14ac:dyDescent="0.3">
      <c r="A410" t="s">
        <v>2277</v>
      </c>
      <c r="B410" t="s">
        <v>1847</v>
      </c>
      <c r="C410" t="s">
        <v>1855</v>
      </c>
      <c r="D410">
        <v>4</v>
      </c>
      <c r="E410" t="s">
        <v>1447</v>
      </c>
      <c r="F410" t="s">
        <v>1858</v>
      </c>
      <c r="G410" t="s">
        <v>1748</v>
      </c>
      <c r="H410" t="s">
        <v>2279</v>
      </c>
      <c r="I410">
        <v>23</v>
      </c>
      <c r="J410" t="s">
        <v>2279</v>
      </c>
      <c r="K410" t="s">
        <v>2279</v>
      </c>
      <c r="L410" t="s">
        <v>2279</v>
      </c>
      <c r="M410" t="s">
        <v>2279</v>
      </c>
      <c r="N410" t="s">
        <v>2279</v>
      </c>
      <c r="O410" s="190" t="str">
        <f>"["&amp;$C410&amp;"]["&amp;$D410&amp;"]["&amp;$F410&amp;"]"</f>
        <v>[S05_DefaultValues][4][InstallationNumber]</v>
      </c>
    </row>
    <row r="411" spans="1:15" x14ac:dyDescent="0.3">
      <c r="A411" t="s">
        <v>2277</v>
      </c>
      <c r="B411" t="s">
        <v>1847</v>
      </c>
      <c r="C411" t="s">
        <v>1855</v>
      </c>
      <c r="D411">
        <v>5</v>
      </c>
      <c r="E411" t="s">
        <v>1447</v>
      </c>
      <c r="F411" t="s">
        <v>1858</v>
      </c>
      <c r="G411" t="s">
        <v>1748</v>
      </c>
      <c r="H411" t="s">
        <v>2279</v>
      </c>
      <c r="I411">
        <v>8</v>
      </c>
      <c r="J411" t="s">
        <v>2279</v>
      </c>
      <c r="K411" t="s">
        <v>2279</v>
      </c>
      <c r="L411" t="s">
        <v>2279</v>
      </c>
      <c r="M411" t="s">
        <v>2279</v>
      </c>
      <c r="N411" t="s">
        <v>2279</v>
      </c>
      <c r="O411" s="190" t="str">
        <f>"["&amp;$C411&amp;"]["&amp;$D411&amp;"]["&amp;$F411&amp;"]"</f>
        <v>[S05_DefaultValues][5][InstallationNumber]</v>
      </c>
    </row>
    <row r="412" spans="1:15" x14ac:dyDescent="0.3">
      <c r="A412" t="s">
        <v>2277</v>
      </c>
      <c r="B412" t="s">
        <v>1847</v>
      </c>
      <c r="C412" t="s">
        <v>1855</v>
      </c>
      <c r="D412">
        <v>6</v>
      </c>
      <c r="E412" t="s">
        <v>1447</v>
      </c>
      <c r="F412" t="s">
        <v>1858</v>
      </c>
      <c r="G412" t="s">
        <v>1748</v>
      </c>
      <c r="H412" t="s">
        <v>2279</v>
      </c>
      <c r="I412">
        <v>23</v>
      </c>
      <c r="J412" t="s">
        <v>2279</v>
      </c>
      <c r="K412" t="s">
        <v>2279</v>
      </c>
      <c r="L412" t="s">
        <v>2279</v>
      </c>
      <c r="M412" t="s">
        <v>2279</v>
      </c>
      <c r="N412" t="s">
        <v>2279</v>
      </c>
      <c r="O412" s="190" t="str">
        <f>"["&amp;$C412&amp;"]["&amp;$D412&amp;"]["&amp;$F412&amp;"]"</f>
        <v>[S05_DefaultValues][6][InstallationNumber]</v>
      </c>
    </row>
    <row r="413" spans="1:15" x14ac:dyDescent="0.3">
      <c r="A413" t="s">
        <v>2277</v>
      </c>
      <c r="B413" t="s">
        <v>1847</v>
      </c>
      <c r="C413" t="s">
        <v>1855</v>
      </c>
      <c r="D413">
        <v>7</v>
      </c>
      <c r="E413" t="s">
        <v>1447</v>
      </c>
      <c r="F413" t="s">
        <v>1858</v>
      </c>
      <c r="G413" t="s">
        <v>1748</v>
      </c>
      <c r="H413" t="s">
        <v>2279</v>
      </c>
      <c r="I413">
        <v>1</v>
      </c>
      <c r="J413" t="s">
        <v>2279</v>
      </c>
      <c r="K413" t="s">
        <v>2279</v>
      </c>
      <c r="L413" t="s">
        <v>2279</v>
      </c>
      <c r="M413" t="s">
        <v>2279</v>
      </c>
      <c r="N413" t="s">
        <v>2279</v>
      </c>
      <c r="O413" s="190" t="str">
        <f>"["&amp;$C413&amp;"]["&amp;$D413&amp;"]["&amp;$F413&amp;"]"</f>
        <v>[S05_DefaultValues][7][InstallationNumber]</v>
      </c>
    </row>
    <row r="414" spans="1:15" x14ac:dyDescent="0.3">
      <c r="A414" t="s">
        <v>2277</v>
      </c>
      <c r="B414" t="s">
        <v>1847</v>
      </c>
      <c r="C414" t="s">
        <v>1855</v>
      </c>
      <c r="D414">
        <v>8</v>
      </c>
      <c r="E414" t="s">
        <v>1447</v>
      </c>
      <c r="F414" t="s">
        <v>1858</v>
      </c>
      <c r="G414" t="s">
        <v>1748</v>
      </c>
      <c r="H414" t="s">
        <v>2279</v>
      </c>
      <c r="I414">
        <v>1</v>
      </c>
      <c r="J414" t="s">
        <v>2279</v>
      </c>
      <c r="K414" t="s">
        <v>2279</v>
      </c>
      <c r="L414" t="s">
        <v>2279</v>
      </c>
      <c r="M414" t="s">
        <v>2279</v>
      </c>
      <c r="N414" t="s">
        <v>2279</v>
      </c>
      <c r="O414" s="190" t="str">
        <f>"["&amp;$C414&amp;"]["&amp;$D414&amp;"]["&amp;$F414&amp;"]"</f>
        <v>[S05_DefaultValues][8][InstallationNumber]</v>
      </c>
    </row>
    <row r="415" spans="1:15" x14ac:dyDescent="0.3">
      <c r="A415" t="s">
        <v>2277</v>
      </c>
      <c r="B415" t="s">
        <v>1847</v>
      </c>
      <c r="C415" t="s">
        <v>1855</v>
      </c>
      <c r="D415">
        <v>9</v>
      </c>
      <c r="E415" t="s">
        <v>1447</v>
      </c>
      <c r="F415" t="s">
        <v>1858</v>
      </c>
      <c r="G415" t="s">
        <v>1748</v>
      </c>
      <c r="H415" t="s">
        <v>2279</v>
      </c>
      <c r="I415">
        <v>1</v>
      </c>
      <c r="J415" t="s">
        <v>2279</v>
      </c>
      <c r="K415" t="s">
        <v>2279</v>
      </c>
      <c r="L415" t="s">
        <v>2279</v>
      </c>
      <c r="M415" t="s">
        <v>2279</v>
      </c>
      <c r="N415" t="s">
        <v>2279</v>
      </c>
      <c r="O415" s="190" t="str">
        <f>"["&amp;$C415&amp;"]["&amp;$D415&amp;"]["&amp;$F415&amp;"]"</f>
        <v>[S05_DefaultValues][9][InstallationNumber]</v>
      </c>
    </row>
    <row r="416" spans="1:15" x14ac:dyDescent="0.3">
      <c r="A416" t="s">
        <v>2277</v>
      </c>
      <c r="B416" t="s">
        <v>1847</v>
      </c>
      <c r="C416" t="s">
        <v>1855</v>
      </c>
      <c r="D416">
        <v>10</v>
      </c>
      <c r="E416" t="s">
        <v>1447</v>
      </c>
      <c r="F416" t="s">
        <v>1858</v>
      </c>
      <c r="G416" t="s">
        <v>1748</v>
      </c>
      <c r="H416" t="s">
        <v>2279</v>
      </c>
      <c r="I416">
        <v>1</v>
      </c>
      <c r="J416" t="s">
        <v>2279</v>
      </c>
      <c r="K416" t="s">
        <v>2279</v>
      </c>
      <c r="L416" t="s">
        <v>2279</v>
      </c>
      <c r="M416" t="s">
        <v>2279</v>
      </c>
      <c r="N416" t="s">
        <v>2279</v>
      </c>
      <c r="O416" s="190" t="str">
        <f>"["&amp;$C416&amp;"]["&amp;$D416&amp;"]["&amp;$F416&amp;"]"</f>
        <v>[S05_DefaultValues][10][InstallationNumber]</v>
      </c>
    </row>
    <row r="417" spans="1:15" x14ac:dyDescent="0.3">
      <c r="A417" t="s">
        <v>2277</v>
      </c>
      <c r="B417" t="s">
        <v>1847</v>
      </c>
      <c r="C417" t="s">
        <v>1855</v>
      </c>
      <c r="D417">
        <v>11</v>
      </c>
      <c r="E417" t="s">
        <v>1447</v>
      </c>
      <c r="F417" t="s">
        <v>1858</v>
      </c>
      <c r="G417" t="s">
        <v>1748</v>
      </c>
      <c r="H417" t="s">
        <v>2279</v>
      </c>
      <c r="I417">
        <v>1</v>
      </c>
      <c r="J417" t="s">
        <v>2279</v>
      </c>
      <c r="K417" t="s">
        <v>2279</v>
      </c>
      <c r="L417" t="s">
        <v>2279</v>
      </c>
      <c r="M417" t="s">
        <v>2279</v>
      </c>
      <c r="N417" t="s">
        <v>2279</v>
      </c>
      <c r="O417" s="190" t="str">
        <f>"["&amp;$C417&amp;"]["&amp;$D417&amp;"]["&amp;$F417&amp;"]"</f>
        <v>[S05_DefaultValues][11][InstallationNumber]</v>
      </c>
    </row>
    <row r="418" spans="1:15" x14ac:dyDescent="0.3">
      <c r="A418" t="s">
        <v>2277</v>
      </c>
      <c r="B418" t="s">
        <v>1847</v>
      </c>
      <c r="C418" t="s">
        <v>1855</v>
      </c>
      <c r="D418">
        <v>12</v>
      </c>
      <c r="E418" t="s">
        <v>1447</v>
      </c>
      <c r="F418" t="s">
        <v>1858</v>
      </c>
      <c r="G418" t="s">
        <v>1748</v>
      </c>
      <c r="H418" t="s">
        <v>2279</v>
      </c>
      <c r="I418">
        <v>1</v>
      </c>
      <c r="J418" t="s">
        <v>2279</v>
      </c>
      <c r="K418" t="s">
        <v>2279</v>
      </c>
      <c r="L418" t="s">
        <v>2279</v>
      </c>
      <c r="M418" t="s">
        <v>2279</v>
      </c>
      <c r="N418" t="s">
        <v>2279</v>
      </c>
      <c r="O418" s="190" t="str">
        <f>"["&amp;$C418&amp;"]["&amp;$D418&amp;"]["&amp;$F418&amp;"]"</f>
        <v>[S05_DefaultValues][12][InstallationNumber]</v>
      </c>
    </row>
    <row r="419" spans="1:15" x14ac:dyDescent="0.3">
      <c r="A419" t="s">
        <v>2277</v>
      </c>
      <c r="B419" t="s">
        <v>1847</v>
      </c>
      <c r="C419" t="s">
        <v>1855</v>
      </c>
      <c r="D419">
        <v>13</v>
      </c>
      <c r="E419" t="s">
        <v>1447</v>
      </c>
      <c r="F419" t="s">
        <v>1858</v>
      </c>
      <c r="G419" t="s">
        <v>1748</v>
      </c>
      <c r="H419" t="s">
        <v>2279</v>
      </c>
      <c r="I419">
        <v>1</v>
      </c>
      <c r="J419" t="s">
        <v>2279</v>
      </c>
      <c r="K419" t="s">
        <v>2279</v>
      </c>
      <c r="L419" t="s">
        <v>2279</v>
      </c>
      <c r="M419" t="s">
        <v>2279</v>
      </c>
      <c r="N419" t="s">
        <v>2279</v>
      </c>
      <c r="O419" s="190" t="str">
        <f>"["&amp;$C419&amp;"]["&amp;$D419&amp;"]["&amp;$F419&amp;"]"</f>
        <v>[S05_DefaultValues][13][InstallationNumber]</v>
      </c>
    </row>
    <row r="420" spans="1:15" x14ac:dyDescent="0.3">
      <c r="A420" t="s">
        <v>2277</v>
      </c>
      <c r="B420" t="s">
        <v>1847</v>
      </c>
      <c r="C420" t="s">
        <v>1855</v>
      </c>
      <c r="D420">
        <v>14</v>
      </c>
      <c r="E420" t="s">
        <v>1447</v>
      </c>
      <c r="F420" t="s">
        <v>1858</v>
      </c>
      <c r="G420" t="s">
        <v>1748</v>
      </c>
      <c r="H420" t="s">
        <v>2279</v>
      </c>
      <c r="I420">
        <v>1</v>
      </c>
      <c r="J420" t="s">
        <v>2279</v>
      </c>
      <c r="K420" t="s">
        <v>2279</v>
      </c>
      <c r="L420" t="s">
        <v>2279</v>
      </c>
      <c r="M420" t="s">
        <v>2279</v>
      </c>
      <c r="N420" t="s">
        <v>2279</v>
      </c>
      <c r="O420" s="190" t="str">
        <f>"["&amp;$C420&amp;"]["&amp;$D420&amp;"]["&amp;$F420&amp;"]"</f>
        <v>[S05_DefaultValues][14][InstallationNumber]</v>
      </c>
    </row>
    <row r="421" spans="1:15" x14ac:dyDescent="0.3">
      <c r="A421" t="s">
        <v>2277</v>
      </c>
      <c r="B421" t="s">
        <v>1847</v>
      </c>
      <c r="C421" t="s">
        <v>1855</v>
      </c>
      <c r="D421">
        <v>15</v>
      </c>
      <c r="E421" t="s">
        <v>1447</v>
      </c>
      <c r="F421" t="s">
        <v>1858</v>
      </c>
      <c r="G421" t="s">
        <v>1748</v>
      </c>
      <c r="H421" t="s">
        <v>2279</v>
      </c>
      <c r="I421">
        <v>1</v>
      </c>
      <c r="J421" t="s">
        <v>2279</v>
      </c>
      <c r="K421" t="s">
        <v>2279</v>
      </c>
      <c r="L421" t="s">
        <v>2279</v>
      </c>
      <c r="M421" t="s">
        <v>2279</v>
      </c>
      <c r="N421" t="s">
        <v>2279</v>
      </c>
      <c r="O421" s="190" t="str">
        <f>"["&amp;$C421&amp;"]["&amp;$D421&amp;"]["&amp;$F421&amp;"]"</f>
        <v>[S05_DefaultValues][15][InstallationNumber]</v>
      </c>
    </row>
    <row r="422" spans="1:15" x14ac:dyDescent="0.3">
      <c r="A422" t="s">
        <v>2277</v>
      </c>
      <c r="B422" t="s">
        <v>1847</v>
      </c>
      <c r="C422" t="s">
        <v>1855</v>
      </c>
      <c r="D422">
        <v>16</v>
      </c>
      <c r="E422" t="s">
        <v>1447</v>
      </c>
      <c r="F422" t="s">
        <v>1858</v>
      </c>
      <c r="G422" t="s">
        <v>1748</v>
      </c>
      <c r="H422" t="s">
        <v>2279</v>
      </c>
      <c r="I422">
        <v>2</v>
      </c>
      <c r="J422" t="s">
        <v>2279</v>
      </c>
      <c r="K422" t="s">
        <v>2279</v>
      </c>
      <c r="L422" t="s">
        <v>2279</v>
      </c>
      <c r="M422" t="s">
        <v>2279</v>
      </c>
      <c r="N422" t="s">
        <v>2279</v>
      </c>
      <c r="O422" s="190" t="str">
        <f>"["&amp;$C422&amp;"]["&amp;$D422&amp;"]["&amp;$F422&amp;"]"</f>
        <v>[S05_DefaultValues][16][InstallationNumber]</v>
      </c>
    </row>
    <row r="423" spans="1:15" x14ac:dyDescent="0.3">
      <c r="A423" t="s">
        <v>2277</v>
      </c>
      <c r="B423" t="s">
        <v>1847</v>
      </c>
      <c r="C423" t="s">
        <v>1855</v>
      </c>
      <c r="D423">
        <v>17</v>
      </c>
      <c r="E423" t="s">
        <v>1447</v>
      </c>
      <c r="F423" t="s">
        <v>1858</v>
      </c>
      <c r="G423" t="s">
        <v>1748</v>
      </c>
      <c r="H423" t="s">
        <v>2279</v>
      </c>
      <c r="I423">
        <v>1</v>
      </c>
      <c r="J423" t="s">
        <v>2279</v>
      </c>
      <c r="K423" t="s">
        <v>2279</v>
      </c>
      <c r="L423" t="s">
        <v>2279</v>
      </c>
      <c r="M423" t="s">
        <v>2279</v>
      </c>
      <c r="N423" t="s">
        <v>2279</v>
      </c>
      <c r="O423" s="190" t="str">
        <f>"["&amp;$C423&amp;"]["&amp;$D423&amp;"]["&amp;$F423&amp;"]"</f>
        <v>[S05_DefaultValues][17][InstallationNumber]</v>
      </c>
    </row>
    <row r="424" spans="1:15" x14ac:dyDescent="0.3">
      <c r="A424" t="s">
        <v>2277</v>
      </c>
      <c r="B424" t="s">
        <v>1847</v>
      </c>
      <c r="C424" t="s">
        <v>1855</v>
      </c>
      <c r="D424">
        <v>18</v>
      </c>
      <c r="E424" t="s">
        <v>1447</v>
      </c>
      <c r="F424" t="s">
        <v>1858</v>
      </c>
      <c r="G424" t="s">
        <v>1748</v>
      </c>
      <c r="H424" t="s">
        <v>2279</v>
      </c>
      <c r="I424">
        <v>1</v>
      </c>
      <c r="J424" t="s">
        <v>2279</v>
      </c>
      <c r="K424" t="s">
        <v>2279</v>
      </c>
      <c r="L424" t="s">
        <v>2279</v>
      </c>
      <c r="M424" t="s">
        <v>2279</v>
      </c>
      <c r="N424" t="s">
        <v>2279</v>
      </c>
      <c r="O424" s="190" t="str">
        <f>"["&amp;$C424&amp;"]["&amp;$D424&amp;"]["&amp;$F424&amp;"]"</f>
        <v>[S05_DefaultValues][18][InstallationNumber]</v>
      </c>
    </row>
    <row r="425" spans="1:15" x14ac:dyDescent="0.3">
      <c r="A425" t="s">
        <v>2277</v>
      </c>
      <c r="B425" t="s">
        <v>1847</v>
      </c>
      <c r="C425" t="s">
        <v>1855</v>
      </c>
      <c r="D425">
        <v>19</v>
      </c>
      <c r="E425" t="s">
        <v>1447</v>
      </c>
      <c r="F425" t="s">
        <v>1858</v>
      </c>
      <c r="G425" t="s">
        <v>1748</v>
      </c>
      <c r="H425" t="s">
        <v>2279</v>
      </c>
      <c r="I425">
        <v>3</v>
      </c>
      <c r="J425" t="s">
        <v>2279</v>
      </c>
      <c r="K425" t="s">
        <v>2279</v>
      </c>
      <c r="L425" t="s">
        <v>2279</v>
      </c>
      <c r="M425" t="s">
        <v>2279</v>
      </c>
      <c r="N425" t="s">
        <v>2279</v>
      </c>
      <c r="O425" s="190" t="str">
        <f>"["&amp;$C425&amp;"]["&amp;$D425&amp;"]["&amp;$F425&amp;"]"</f>
        <v>[S05_DefaultValues][19][InstallationNumber]</v>
      </c>
    </row>
    <row r="426" spans="1:15" x14ac:dyDescent="0.3">
      <c r="A426" t="s">
        <v>2277</v>
      </c>
      <c r="B426" t="s">
        <v>1847</v>
      </c>
      <c r="C426" t="s">
        <v>1855</v>
      </c>
      <c r="D426">
        <v>20</v>
      </c>
      <c r="E426" t="s">
        <v>1447</v>
      </c>
      <c r="F426" t="s">
        <v>1858</v>
      </c>
      <c r="G426" t="s">
        <v>1748</v>
      </c>
      <c r="H426" t="s">
        <v>2279</v>
      </c>
      <c r="I426">
        <v>3</v>
      </c>
      <c r="J426" t="s">
        <v>2279</v>
      </c>
      <c r="K426" t="s">
        <v>2279</v>
      </c>
      <c r="L426" t="s">
        <v>2279</v>
      </c>
      <c r="M426" t="s">
        <v>2279</v>
      </c>
      <c r="N426" t="s">
        <v>2279</v>
      </c>
      <c r="O426" s="190" t="str">
        <f>"["&amp;$C426&amp;"]["&amp;$D426&amp;"]["&amp;$F426&amp;"]"</f>
        <v>[S05_DefaultValues][20][InstallationNumber]</v>
      </c>
    </row>
    <row r="427" spans="1:15" x14ac:dyDescent="0.3">
      <c r="A427" t="s">
        <v>2277</v>
      </c>
      <c r="B427" t="s">
        <v>1847</v>
      </c>
      <c r="C427" t="s">
        <v>1855</v>
      </c>
      <c r="D427">
        <v>21</v>
      </c>
      <c r="E427" t="s">
        <v>1447</v>
      </c>
      <c r="F427" t="s">
        <v>1858</v>
      </c>
      <c r="G427" t="s">
        <v>1748</v>
      </c>
      <c r="H427" t="s">
        <v>2279</v>
      </c>
      <c r="I427">
        <v>3</v>
      </c>
      <c r="J427" t="s">
        <v>2279</v>
      </c>
      <c r="K427" t="s">
        <v>2279</v>
      </c>
      <c r="L427" t="s">
        <v>2279</v>
      </c>
      <c r="M427" t="s">
        <v>2279</v>
      </c>
      <c r="N427" t="s">
        <v>2279</v>
      </c>
      <c r="O427" s="190" t="str">
        <f>"["&amp;$C427&amp;"]["&amp;$D427&amp;"]["&amp;$F427&amp;"]"</f>
        <v>[S05_DefaultValues][21][InstallationNumber]</v>
      </c>
    </row>
    <row r="428" spans="1:15" x14ac:dyDescent="0.3">
      <c r="A428" t="s">
        <v>2277</v>
      </c>
      <c r="B428" t="s">
        <v>1847</v>
      </c>
      <c r="C428" t="s">
        <v>1855</v>
      </c>
      <c r="D428">
        <v>22</v>
      </c>
      <c r="E428" t="s">
        <v>1447</v>
      </c>
      <c r="F428" t="s">
        <v>1858</v>
      </c>
      <c r="G428" t="s">
        <v>1748</v>
      </c>
      <c r="H428" t="s">
        <v>2279</v>
      </c>
      <c r="I428">
        <v>14</v>
      </c>
      <c r="J428" t="s">
        <v>2279</v>
      </c>
      <c r="K428" t="s">
        <v>2279</v>
      </c>
      <c r="L428" t="s">
        <v>2279</v>
      </c>
      <c r="M428" t="s">
        <v>2279</v>
      </c>
      <c r="N428" t="s">
        <v>2279</v>
      </c>
      <c r="O428" s="190" t="str">
        <f>"["&amp;$C428&amp;"]["&amp;$D428&amp;"]["&amp;$F428&amp;"]"</f>
        <v>[S05_DefaultValues][22][InstallationNumber]</v>
      </c>
    </row>
    <row r="429" spans="1:15" x14ac:dyDescent="0.3">
      <c r="A429" t="s">
        <v>2277</v>
      </c>
      <c r="B429" t="s">
        <v>1847</v>
      </c>
      <c r="C429" t="s">
        <v>1855</v>
      </c>
      <c r="D429">
        <v>23</v>
      </c>
      <c r="E429" t="s">
        <v>1447</v>
      </c>
      <c r="F429" t="s">
        <v>1858</v>
      </c>
      <c r="G429" t="s">
        <v>1748</v>
      </c>
      <c r="H429" t="s">
        <v>2279</v>
      </c>
      <c r="I429">
        <v>1</v>
      </c>
      <c r="J429" t="s">
        <v>2279</v>
      </c>
      <c r="K429" t="s">
        <v>2279</v>
      </c>
      <c r="L429" t="s">
        <v>2279</v>
      </c>
      <c r="M429" t="s">
        <v>2279</v>
      </c>
      <c r="N429" t="s">
        <v>2279</v>
      </c>
      <c r="O429" s="190" t="str">
        <f>"["&amp;$C429&amp;"]["&amp;$D429&amp;"]["&amp;$F429&amp;"]"</f>
        <v>[S05_DefaultValues][23][InstallationNumber]</v>
      </c>
    </row>
    <row r="430" spans="1:15" x14ac:dyDescent="0.3">
      <c r="A430" t="s">
        <v>2277</v>
      </c>
      <c r="B430" t="s">
        <v>1847</v>
      </c>
      <c r="C430" t="s">
        <v>1855</v>
      </c>
      <c r="D430">
        <v>24</v>
      </c>
      <c r="E430" t="s">
        <v>1447</v>
      </c>
      <c r="F430" t="s">
        <v>1858</v>
      </c>
      <c r="G430" t="s">
        <v>1748</v>
      </c>
      <c r="H430" t="s">
        <v>2279</v>
      </c>
      <c r="I430">
        <v>1</v>
      </c>
      <c r="J430" t="s">
        <v>2279</v>
      </c>
      <c r="K430" t="s">
        <v>2279</v>
      </c>
      <c r="L430" t="s">
        <v>2279</v>
      </c>
      <c r="M430" t="s">
        <v>2279</v>
      </c>
      <c r="N430" t="s">
        <v>2279</v>
      </c>
      <c r="O430" s="190" t="str">
        <f>"["&amp;$C430&amp;"]["&amp;$D430&amp;"]["&amp;$F430&amp;"]"</f>
        <v>[S05_DefaultValues][24][InstallationNumber]</v>
      </c>
    </row>
    <row r="431" spans="1:15" x14ac:dyDescent="0.3">
      <c r="A431" t="s">
        <v>2277</v>
      </c>
      <c r="B431" t="s">
        <v>1847</v>
      </c>
      <c r="C431" t="s">
        <v>1855</v>
      </c>
      <c r="D431">
        <v>25</v>
      </c>
      <c r="E431" t="s">
        <v>1447</v>
      </c>
      <c r="F431" t="s">
        <v>1858</v>
      </c>
      <c r="G431" t="s">
        <v>1748</v>
      </c>
      <c r="H431" t="s">
        <v>2279</v>
      </c>
      <c r="I431">
        <v>1</v>
      </c>
      <c r="J431" t="s">
        <v>2279</v>
      </c>
      <c r="K431" t="s">
        <v>2279</v>
      </c>
      <c r="L431" t="s">
        <v>2279</v>
      </c>
      <c r="M431" t="s">
        <v>2279</v>
      </c>
      <c r="N431" t="s">
        <v>2279</v>
      </c>
      <c r="O431" s="190" t="str">
        <f>"["&amp;$C431&amp;"]["&amp;$D431&amp;"]["&amp;$F431&amp;"]"</f>
        <v>[S05_DefaultValues][25][InstallationNumber]</v>
      </c>
    </row>
    <row r="432" spans="1:15" x14ac:dyDescent="0.3">
      <c r="A432" t="s">
        <v>2277</v>
      </c>
      <c r="B432" t="s">
        <v>1847</v>
      </c>
      <c r="C432" t="s">
        <v>1855</v>
      </c>
      <c r="D432">
        <v>26</v>
      </c>
      <c r="E432" t="s">
        <v>1447</v>
      </c>
      <c r="F432" t="s">
        <v>1858</v>
      </c>
      <c r="G432" t="s">
        <v>1748</v>
      </c>
      <c r="H432" t="s">
        <v>2279</v>
      </c>
      <c r="I432">
        <v>10</v>
      </c>
      <c r="J432" t="s">
        <v>2279</v>
      </c>
      <c r="K432" t="s">
        <v>2279</v>
      </c>
      <c r="L432" t="s">
        <v>2279</v>
      </c>
      <c r="M432" t="s">
        <v>2279</v>
      </c>
      <c r="N432" t="s">
        <v>2279</v>
      </c>
      <c r="O432" s="190" t="str">
        <f>"["&amp;$C432&amp;"]["&amp;$D432&amp;"]["&amp;$F432&amp;"]"</f>
        <v>[S05_DefaultValues][26][InstallationNumber]</v>
      </c>
    </row>
    <row r="433" spans="1:15" x14ac:dyDescent="0.3">
      <c r="A433" t="s">
        <v>2277</v>
      </c>
      <c r="B433" t="s">
        <v>1847</v>
      </c>
      <c r="C433" t="s">
        <v>1855</v>
      </c>
      <c r="D433">
        <v>27</v>
      </c>
      <c r="E433" t="s">
        <v>1447</v>
      </c>
      <c r="F433" t="s">
        <v>1858</v>
      </c>
      <c r="G433" t="s">
        <v>1748</v>
      </c>
      <c r="H433" t="s">
        <v>2279</v>
      </c>
      <c r="I433">
        <v>3</v>
      </c>
      <c r="J433" t="s">
        <v>2279</v>
      </c>
      <c r="K433" t="s">
        <v>2279</v>
      </c>
      <c r="L433" t="s">
        <v>2279</v>
      </c>
      <c r="M433" t="s">
        <v>2279</v>
      </c>
      <c r="N433" t="s">
        <v>2279</v>
      </c>
      <c r="O433" s="190" t="str">
        <f>"["&amp;$C433&amp;"]["&amp;$D433&amp;"]["&amp;$F433&amp;"]"</f>
        <v>[S05_DefaultValues][27][InstallationNumber]</v>
      </c>
    </row>
    <row r="434" spans="1:15" x14ac:dyDescent="0.3">
      <c r="A434" t="s">
        <v>2277</v>
      </c>
      <c r="B434" t="s">
        <v>1847</v>
      </c>
      <c r="C434" t="s">
        <v>1855</v>
      </c>
      <c r="D434">
        <v>28</v>
      </c>
      <c r="E434" t="s">
        <v>1447</v>
      </c>
      <c r="F434" t="s">
        <v>1858</v>
      </c>
      <c r="G434" t="s">
        <v>1748</v>
      </c>
      <c r="H434" t="s">
        <v>2279</v>
      </c>
      <c r="I434">
        <v>3</v>
      </c>
      <c r="J434" t="s">
        <v>2279</v>
      </c>
      <c r="K434" t="s">
        <v>2279</v>
      </c>
      <c r="L434" t="s">
        <v>2279</v>
      </c>
      <c r="M434" t="s">
        <v>2279</v>
      </c>
      <c r="N434" t="s">
        <v>2279</v>
      </c>
      <c r="O434" s="190" t="str">
        <f>"["&amp;$C434&amp;"]["&amp;$D434&amp;"]["&amp;$F434&amp;"]"</f>
        <v>[S05_DefaultValues][28][InstallationNumber]</v>
      </c>
    </row>
    <row r="435" spans="1:15" x14ac:dyDescent="0.3">
      <c r="A435" t="s">
        <v>2277</v>
      </c>
      <c r="B435" t="s">
        <v>1847</v>
      </c>
      <c r="C435" t="s">
        <v>1855</v>
      </c>
      <c r="D435">
        <v>29</v>
      </c>
      <c r="E435" t="s">
        <v>1447</v>
      </c>
      <c r="F435" t="s">
        <v>1858</v>
      </c>
      <c r="G435" t="s">
        <v>1748</v>
      </c>
      <c r="H435" t="s">
        <v>2279</v>
      </c>
      <c r="I435">
        <v>175</v>
      </c>
      <c r="J435" t="s">
        <v>2279</v>
      </c>
      <c r="K435" t="s">
        <v>2279</v>
      </c>
      <c r="L435" t="s">
        <v>2279</v>
      </c>
      <c r="M435" t="s">
        <v>2279</v>
      </c>
      <c r="N435" t="s">
        <v>2279</v>
      </c>
      <c r="O435" s="190" t="str">
        <f>"["&amp;$C435&amp;"]["&amp;$D435&amp;"]["&amp;$F435&amp;"]"</f>
        <v>[S05_DefaultValues][29][InstallationNumber]</v>
      </c>
    </row>
    <row r="436" spans="1:15" x14ac:dyDescent="0.3">
      <c r="A436" t="s">
        <v>2277</v>
      </c>
      <c r="B436" t="s">
        <v>1847</v>
      </c>
      <c r="C436" t="s">
        <v>1855</v>
      </c>
      <c r="D436">
        <v>30</v>
      </c>
      <c r="E436" t="s">
        <v>1447</v>
      </c>
      <c r="F436" t="s">
        <v>1858</v>
      </c>
      <c r="G436" t="s">
        <v>1748</v>
      </c>
      <c r="H436" t="s">
        <v>2279</v>
      </c>
      <c r="I436">
        <v>41</v>
      </c>
      <c r="J436" t="s">
        <v>2279</v>
      </c>
      <c r="K436" t="s">
        <v>2279</v>
      </c>
      <c r="L436" t="s">
        <v>2279</v>
      </c>
      <c r="M436" t="s">
        <v>2279</v>
      </c>
      <c r="N436" t="s">
        <v>2279</v>
      </c>
      <c r="O436" s="190" t="str">
        <f>"["&amp;$C436&amp;"]["&amp;$D436&amp;"]["&amp;$F436&amp;"]"</f>
        <v>[S05_DefaultValues][30][InstallationNumber]</v>
      </c>
    </row>
    <row r="437" spans="1:15" x14ac:dyDescent="0.3">
      <c r="A437" t="s">
        <v>2277</v>
      </c>
      <c r="B437" t="s">
        <v>1847</v>
      </c>
      <c r="C437" t="s">
        <v>1855</v>
      </c>
      <c r="D437">
        <v>31</v>
      </c>
      <c r="E437" t="s">
        <v>1447</v>
      </c>
      <c r="F437" t="s">
        <v>1858</v>
      </c>
      <c r="G437" t="s">
        <v>1748</v>
      </c>
      <c r="H437" t="s">
        <v>2279</v>
      </c>
      <c r="I437">
        <v>42</v>
      </c>
      <c r="J437" t="s">
        <v>2279</v>
      </c>
      <c r="K437" t="s">
        <v>2279</v>
      </c>
      <c r="L437" t="s">
        <v>2279</v>
      </c>
      <c r="M437" t="s">
        <v>2279</v>
      </c>
      <c r="N437" t="s">
        <v>2279</v>
      </c>
      <c r="O437" s="190" t="str">
        <f>"["&amp;$C437&amp;"]["&amp;$D437&amp;"]["&amp;$F437&amp;"]"</f>
        <v>[S05_DefaultValues][31][InstallationNumber]</v>
      </c>
    </row>
    <row r="438" spans="1:15" x14ac:dyDescent="0.3">
      <c r="A438" t="s">
        <v>2277</v>
      </c>
      <c r="B438" t="s">
        <v>1847</v>
      </c>
      <c r="C438" t="s">
        <v>1855</v>
      </c>
      <c r="D438">
        <v>32</v>
      </c>
      <c r="E438" t="s">
        <v>1447</v>
      </c>
      <c r="F438" t="s">
        <v>1858</v>
      </c>
      <c r="G438" t="s">
        <v>1748</v>
      </c>
      <c r="H438" t="s">
        <v>2279</v>
      </c>
      <c r="I438">
        <v>6</v>
      </c>
      <c r="J438" t="s">
        <v>2279</v>
      </c>
      <c r="K438" t="s">
        <v>2279</v>
      </c>
      <c r="L438" t="s">
        <v>2279</v>
      </c>
      <c r="M438" t="s">
        <v>2279</v>
      </c>
      <c r="N438" t="s">
        <v>2279</v>
      </c>
      <c r="O438" s="190" t="str">
        <f>"["&amp;$C438&amp;"]["&amp;$D438&amp;"]["&amp;$F438&amp;"]"</f>
        <v>[S05_DefaultValues][32][InstallationNumber]</v>
      </c>
    </row>
    <row r="439" spans="1:15" x14ac:dyDescent="0.3">
      <c r="A439" t="s">
        <v>2277</v>
      </c>
      <c r="B439" t="s">
        <v>1847</v>
      </c>
      <c r="C439" t="s">
        <v>1855</v>
      </c>
      <c r="D439">
        <v>33</v>
      </c>
      <c r="E439" t="s">
        <v>1447</v>
      </c>
      <c r="F439" t="s">
        <v>1858</v>
      </c>
      <c r="G439" t="s">
        <v>1748</v>
      </c>
      <c r="H439" t="s">
        <v>2279</v>
      </c>
      <c r="I439">
        <v>2</v>
      </c>
      <c r="J439" t="s">
        <v>2279</v>
      </c>
      <c r="K439" t="s">
        <v>2279</v>
      </c>
      <c r="L439" t="s">
        <v>2279</v>
      </c>
      <c r="M439" t="s">
        <v>2279</v>
      </c>
      <c r="N439" t="s">
        <v>2279</v>
      </c>
      <c r="O439" s="190" t="str">
        <f>"["&amp;$C439&amp;"]["&amp;$D439&amp;"]["&amp;$F439&amp;"]"</f>
        <v>[S05_DefaultValues][33][InstallationNumber]</v>
      </c>
    </row>
    <row r="440" spans="1:15" x14ac:dyDescent="0.3">
      <c r="A440" t="s">
        <v>2277</v>
      </c>
      <c r="B440" t="s">
        <v>1847</v>
      </c>
      <c r="C440" t="s">
        <v>1855</v>
      </c>
      <c r="D440">
        <v>34</v>
      </c>
      <c r="E440" t="s">
        <v>1447</v>
      </c>
      <c r="F440" t="s">
        <v>1858</v>
      </c>
      <c r="G440" t="s">
        <v>1748</v>
      </c>
      <c r="H440" t="s">
        <v>2279</v>
      </c>
      <c r="I440">
        <v>4</v>
      </c>
      <c r="J440" t="s">
        <v>2279</v>
      </c>
      <c r="K440" t="s">
        <v>2279</v>
      </c>
      <c r="L440" t="s">
        <v>2279</v>
      </c>
      <c r="M440" t="s">
        <v>2279</v>
      </c>
      <c r="N440" t="s">
        <v>2279</v>
      </c>
      <c r="O440" s="190" t="str">
        <f>"["&amp;$C440&amp;"]["&amp;$D440&amp;"]["&amp;$F440&amp;"]"</f>
        <v>[S05_DefaultValues][34][InstallationNumber]</v>
      </c>
    </row>
    <row r="441" spans="1:15" x14ac:dyDescent="0.3">
      <c r="A441" t="s">
        <v>2277</v>
      </c>
      <c r="B441" t="s">
        <v>1847</v>
      </c>
      <c r="C441" t="s">
        <v>1855</v>
      </c>
      <c r="D441">
        <v>35</v>
      </c>
      <c r="E441" t="s">
        <v>1447</v>
      </c>
      <c r="F441" t="s">
        <v>1858</v>
      </c>
      <c r="G441" t="s">
        <v>1748</v>
      </c>
      <c r="H441" t="s">
        <v>2279</v>
      </c>
      <c r="I441">
        <v>8</v>
      </c>
      <c r="J441" t="s">
        <v>2279</v>
      </c>
      <c r="K441" t="s">
        <v>2279</v>
      </c>
      <c r="L441" t="s">
        <v>2279</v>
      </c>
      <c r="M441" t="s">
        <v>2279</v>
      </c>
      <c r="N441" t="s">
        <v>2279</v>
      </c>
      <c r="O441" s="190" t="str">
        <f>"["&amp;$C441&amp;"]["&amp;$D441&amp;"]["&amp;$F441&amp;"]"</f>
        <v>[S05_DefaultValues][35][InstallationNumber]</v>
      </c>
    </row>
    <row r="442" spans="1:15" x14ac:dyDescent="0.3">
      <c r="A442" t="s">
        <v>2277</v>
      </c>
      <c r="B442" t="s">
        <v>1847</v>
      </c>
      <c r="C442" t="s">
        <v>1855</v>
      </c>
      <c r="D442">
        <v>36</v>
      </c>
      <c r="E442" t="s">
        <v>1447</v>
      </c>
      <c r="F442" t="s">
        <v>1858</v>
      </c>
      <c r="G442" t="s">
        <v>1748</v>
      </c>
      <c r="H442" t="s">
        <v>2279</v>
      </c>
      <c r="I442">
        <v>2</v>
      </c>
      <c r="J442" t="s">
        <v>2279</v>
      </c>
      <c r="K442" t="s">
        <v>2279</v>
      </c>
      <c r="L442" t="s">
        <v>2279</v>
      </c>
      <c r="M442" t="s">
        <v>2279</v>
      </c>
      <c r="N442" t="s">
        <v>2279</v>
      </c>
      <c r="O442" s="190" t="str">
        <f>"["&amp;$C442&amp;"]["&amp;$D442&amp;"]["&amp;$F442&amp;"]"</f>
        <v>[S05_DefaultValues][36][InstallationNumber]</v>
      </c>
    </row>
    <row r="443" spans="1:15" x14ac:dyDescent="0.3">
      <c r="A443" t="s">
        <v>2277</v>
      </c>
      <c r="B443" t="s">
        <v>1847</v>
      </c>
      <c r="C443" t="s">
        <v>1855</v>
      </c>
      <c r="D443">
        <v>37</v>
      </c>
      <c r="E443" t="s">
        <v>1447</v>
      </c>
      <c r="F443" t="s">
        <v>1858</v>
      </c>
      <c r="G443" t="s">
        <v>1748</v>
      </c>
      <c r="H443" t="s">
        <v>2279</v>
      </c>
      <c r="I443">
        <v>1</v>
      </c>
      <c r="J443" t="s">
        <v>2279</v>
      </c>
      <c r="K443" t="s">
        <v>2279</v>
      </c>
      <c r="L443" t="s">
        <v>2279</v>
      </c>
      <c r="M443" t="s">
        <v>2279</v>
      </c>
      <c r="N443" t="s">
        <v>2279</v>
      </c>
      <c r="O443" s="190" t="str">
        <f>"["&amp;$C443&amp;"]["&amp;$D443&amp;"]["&amp;$F443&amp;"]"</f>
        <v>[S05_DefaultValues][37][InstallationNumber]</v>
      </c>
    </row>
    <row r="444" spans="1:15" x14ac:dyDescent="0.3">
      <c r="A444" t="s">
        <v>2277</v>
      </c>
      <c r="B444" t="s">
        <v>1847</v>
      </c>
      <c r="C444" t="s">
        <v>1855</v>
      </c>
      <c r="D444">
        <v>38</v>
      </c>
      <c r="E444" t="s">
        <v>1447</v>
      </c>
      <c r="F444" t="s">
        <v>1858</v>
      </c>
      <c r="G444" t="s">
        <v>1748</v>
      </c>
      <c r="H444" t="s">
        <v>2279</v>
      </c>
      <c r="I444">
        <v>2</v>
      </c>
      <c r="J444" t="s">
        <v>2279</v>
      </c>
      <c r="K444" t="s">
        <v>2279</v>
      </c>
      <c r="L444" t="s">
        <v>2279</v>
      </c>
      <c r="M444" t="s">
        <v>2279</v>
      </c>
      <c r="N444" t="s">
        <v>2279</v>
      </c>
      <c r="O444" s="190" t="str">
        <f>"["&amp;$C444&amp;"]["&amp;$D444&amp;"]["&amp;$F444&amp;"]"</f>
        <v>[S05_DefaultValues][38][InstallationNumber]</v>
      </c>
    </row>
    <row r="445" spans="1:15" x14ac:dyDescent="0.3">
      <c r="A445" t="s">
        <v>2277</v>
      </c>
      <c r="B445" t="s">
        <v>1847</v>
      </c>
      <c r="C445" t="s">
        <v>1855</v>
      </c>
      <c r="D445">
        <v>39</v>
      </c>
      <c r="E445" t="s">
        <v>1447</v>
      </c>
      <c r="F445" t="s">
        <v>1858</v>
      </c>
      <c r="G445" t="s">
        <v>1748</v>
      </c>
      <c r="H445" t="s">
        <v>2279</v>
      </c>
      <c r="I445">
        <v>1</v>
      </c>
      <c r="J445" t="s">
        <v>2279</v>
      </c>
      <c r="K445" t="s">
        <v>2279</v>
      </c>
      <c r="L445" t="s">
        <v>2279</v>
      </c>
      <c r="M445" t="s">
        <v>2279</v>
      </c>
      <c r="N445" t="s">
        <v>2279</v>
      </c>
      <c r="O445" s="190" t="str">
        <f>"["&amp;$C445&amp;"]["&amp;$D445&amp;"]["&amp;$F445&amp;"]"</f>
        <v>[S05_DefaultValues][39][InstallationNumber]</v>
      </c>
    </row>
    <row r="446" spans="1:15" x14ac:dyDescent="0.3">
      <c r="A446" t="s">
        <v>2277</v>
      </c>
      <c r="B446" t="s">
        <v>1847</v>
      </c>
      <c r="C446" t="s">
        <v>1855</v>
      </c>
      <c r="D446">
        <v>40</v>
      </c>
      <c r="E446" t="s">
        <v>1447</v>
      </c>
      <c r="F446" t="s">
        <v>1858</v>
      </c>
      <c r="G446" t="s">
        <v>1748</v>
      </c>
      <c r="H446" t="s">
        <v>2279</v>
      </c>
      <c r="I446">
        <v>5</v>
      </c>
      <c r="J446" t="s">
        <v>2279</v>
      </c>
      <c r="K446" t="s">
        <v>2279</v>
      </c>
      <c r="L446" t="s">
        <v>2279</v>
      </c>
      <c r="M446" t="s">
        <v>2279</v>
      </c>
      <c r="N446" t="s">
        <v>2279</v>
      </c>
      <c r="O446" s="190" t="str">
        <f>"["&amp;$C446&amp;"]["&amp;$D446&amp;"]["&amp;$F446&amp;"]"</f>
        <v>[S05_DefaultValues][40][InstallationNumber]</v>
      </c>
    </row>
    <row r="447" spans="1:15" x14ac:dyDescent="0.3">
      <c r="A447" t="s">
        <v>2277</v>
      </c>
      <c r="B447" t="s">
        <v>1847</v>
      </c>
      <c r="C447" t="s">
        <v>1855</v>
      </c>
      <c r="D447">
        <v>41</v>
      </c>
      <c r="E447" t="s">
        <v>1447</v>
      </c>
      <c r="F447" t="s">
        <v>1858</v>
      </c>
      <c r="G447" t="s">
        <v>1748</v>
      </c>
      <c r="H447" t="s">
        <v>2279</v>
      </c>
      <c r="I447">
        <v>2</v>
      </c>
      <c r="J447" t="s">
        <v>2279</v>
      </c>
      <c r="K447" t="s">
        <v>2279</v>
      </c>
      <c r="L447" t="s">
        <v>2279</v>
      </c>
      <c r="M447" t="s">
        <v>2279</v>
      </c>
      <c r="N447" t="s">
        <v>2279</v>
      </c>
      <c r="O447" s="190" t="str">
        <f>"["&amp;$C447&amp;"]["&amp;$D447&amp;"]["&amp;$F447&amp;"]"</f>
        <v>[S05_DefaultValues][41][InstallationNumber]</v>
      </c>
    </row>
    <row r="448" spans="1:15" x14ac:dyDescent="0.3">
      <c r="A448" t="s">
        <v>2277</v>
      </c>
      <c r="B448" t="s">
        <v>1847</v>
      </c>
      <c r="C448" t="s">
        <v>1855</v>
      </c>
      <c r="D448">
        <v>42</v>
      </c>
      <c r="E448" t="s">
        <v>1447</v>
      </c>
      <c r="F448" t="s">
        <v>1858</v>
      </c>
      <c r="G448" t="s">
        <v>1748</v>
      </c>
      <c r="H448" t="s">
        <v>2279</v>
      </c>
      <c r="I448">
        <v>2</v>
      </c>
      <c r="J448" t="s">
        <v>2279</v>
      </c>
      <c r="K448" t="s">
        <v>2279</v>
      </c>
      <c r="L448" t="s">
        <v>2279</v>
      </c>
      <c r="M448" t="s">
        <v>2279</v>
      </c>
      <c r="N448" t="s">
        <v>2279</v>
      </c>
      <c r="O448" s="190" t="str">
        <f>"["&amp;$C448&amp;"]["&amp;$D448&amp;"]["&amp;$F448&amp;"]"</f>
        <v>[S05_DefaultValues][42][InstallationNumber]</v>
      </c>
    </row>
    <row r="449" spans="1:15" x14ac:dyDescent="0.3">
      <c r="A449" t="s">
        <v>2277</v>
      </c>
      <c r="B449" t="s">
        <v>1847</v>
      </c>
      <c r="C449" t="s">
        <v>1855</v>
      </c>
      <c r="D449">
        <v>43</v>
      </c>
      <c r="E449" t="s">
        <v>1447</v>
      </c>
      <c r="F449" t="s">
        <v>1858</v>
      </c>
      <c r="G449" t="s">
        <v>1748</v>
      </c>
      <c r="H449" t="s">
        <v>2279</v>
      </c>
      <c r="I449">
        <v>1</v>
      </c>
      <c r="J449" t="s">
        <v>2279</v>
      </c>
      <c r="K449" t="s">
        <v>2279</v>
      </c>
      <c r="L449" t="s">
        <v>2279</v>
      </c>
      <c r="M449" t="s">
        <v>2279</v>
      </c>
      <c r="N449" t="s">
        <v>2279</v>
      </c>
      <c r="O449" s="190" t="str">
        <f>"["&amp;$C449&amp;"]["&amp;$D449&amp;"]["&amp;$F449&amp;"]"</f>
        <v>[S05_DefaultValues][43][InstallationNumber]</v>
      </c>
    </row>
    <row r="450" spans="1:15" x14ac:dyDescent="0.3">
      <c r="A450" t="s">
        <v>2277</v>
      </c>
      <c r="B450" t="s">
        <v>1847</v>
      </c>
      <c r="C450" t="s">
        <v>1855</v>
      </c>
      <c r="D450">
        <v>44</v>
      </c>
      <c r="E450" t="s">
        <v>1447</v>
      </c>
      <c r="F450" t="s">
        <v>1858</v>
      </c>
      <c r="G450" t="s">
        <v>1748</v>
      </c>
      <c r="H450" t="s">
        <v>2279</v>
      </c>
      <c r="I450">
        <v>1</v>
      </c>
      <c r="J450" t="s">
        <v>2279</v>
      </c>
      <c r="K450" t="s">
        <v>2279</v>
      </c>
      <c r="L450" t="s">
        <v>2279</v>
      </c>
      <c r="M450" t="s">
        <v>2279</v>
      </c>
      <c r="N450" t="s">
        <v>2279</v>
      </c>
      <c r="O450" s="190" t="str">
        <f>"["&amp;$C450&amp;"]["&amp;$D450&amp;"]["&amp;$F450&amp;"]"</f>
        <v>[S05_DefaultValues][44][InstallationNumber]</v>
      </c>
    </row>
    <row r="451" spans="1:15" x14ac:dyDescent="0.3">
      <c r="A451" t="s">
        <v>2277</v>
      </c>
      <c r="B451" t="s">
        <v>1847</v>
      </c>
      <c r="C451" t="s">
        <v>1855</v>
      </c>
      <c r="D451">
        <v>45</v>
      </c>
      <c r="E451" t="s">
        <v>1447</v>
      </c>
      <c r="F451" t="s">
        <v>1858</v>
      </c>
      <c r="G451" t="s">
        <v>1748</v>
      </c>
      <c r="H451" t="s">
        <v>2279</v>
      </c>
      <c r="I451">
        <v>1</v>
      </c>
      <c r="J451" t="s">
        <v>2279</v>
      </c>
      <c r="K451" t="s">
        <v>2279</v>
      </c>
      <c r="L451" t="s">
        <v>2279</v>
      </c>
      <c r="M451" t="s">
        <v>2279</v>
      </c>
      <c r="N451" t="s">
        <v>2279</v>
      </c>
      <c r="O451" s="190" t="str">
        <f>"["&amp;$C451&amp;"]["&amp;$D451&amp;"]["&amp;$F451&amp;"]"</f>
        <v>[S05_DefaultValues][45][InstallationNumber]</v>
      </c>
    </row>
    <row r="452" spans="1:15" x14ac:dyDescent="0.3">
      <c r="A452" t="s">
        <v>2277</v>
      </c>
      <c r="B452" t="s">
        <v>1847</v>
      </c>
      <c r="C452" t="s">
        <v>1855</v>
      </c>
      <c r="D452">
        <v>46</v>
      </c>
      <c r="E452" t="s">
        <v>1447</v>
      </c>
      <c r="F452" t="s">
        <v>1858</v>
      </c>
      <c r="G452" t="s">
        <v>1748</v>
      </c>
      <c r="H452" t="s">
        <v>2279</v>
      </c>
      <c r="I452">
        <v>46</v>
      </c>
      <c r="J452" t="s">
        <v>2279</v>
      </c>
      <c r="K452" t="s">
        <v>2279</v>
      </c>
      <c r="L452" t="s">
        <v>2279</v>
      </c>
      <c r="M452" t="s">
        <v>2279</v>
      </c>
      <c r="N452" t="s">
        <v>2279</v>
      </c>
      <c r="O452" s="190" t="str">
        <f>"["&amp;$C452&amp;"]["&amp;$D452&amp;"]["&amp;$F452&amp;"]"</f>
        <v>[S05_DefaultValues][46][InstallationNumber]</v>
      </c>
    </row>
    <row r="453" spans="1:15" x14ac:dyDescent="0.3">
      <c r="A453" t="s">
        <v>2277</v>
      </c>
      <c r="B453" t="s">
        <v>1847</v>
      </c>
      <c r="C453" t="s">
        <v>1855</v>
      </c>
      <c r="D453">
        <v>47</v>
      </c>
      <c r="E453" t="s">
        <v>1447</v>
      </c>
      <c r="F453" t="s">
        <v>1858</v>
      </c>
      <c r="G453" t="s">
        <v>1748</v>
      </c>
      <c r="H453" t="s">
        <v>2279</v>
      </c>
      <c r="I453">
        <v>6</v>
      </c>
      <c r="J453" t="s">
        <v>2279</v>
      </c>
      <c r="K453" t="s">
        <v>2279</v>
      </c>
      <c r="L453" t="s">
        <v>2279</v>
      </c>
      <c r="M453" t="s">
        <v>2279</v>
      </c>
      <c r="N453" t="s">
        <v>2279</v>
      </c>
      <c r="O453" s="190" t="str">
        <f>"["&amp;$C453&amp;"]["&amp;$D453&amp;"]["&amp;$F453&amp;"]"</f>
        <v>[S05_DefaultValues][47][InstallationNumber]</v>
      </c>
    </row>
    <row r="454" spans="1:15" x14ac:dyDescent="0.3">
      <c r="A454" t="s">
        <v>2277</v>
      </c>
      <c r="B454" t="s">
        <v>1847</v>
      </c>
      <c r="C454" t="s">
        <v>1855</v>
      </c>
      <c r="D454">
        <v>48</v>
      </c>
      <c r="E454" t="s">
        <v>1447</v>
      </c>
      <c r="F454" t="s">
        <v>1858</v>
      </c>
      <c r="G454" t="s">
        <v>1748</v>
      </c>
      <c r="H454" t="s">
        <v>2279</v>
      </c>
      <c r="I454">
        <v>6</v>
      </c>
      <c r="J454" t="s">
        <v>2279</v>
      </c>
      <c r="K454" t="s">
        <v>2279</v>
      </c>
      <c r="L454" t="s">
        <v>2279</v>
      </c>
      <c r="M454" t="s">
        <v>2279</v>
      </c>
      <c r="N454" t="s">
        <v>2279</v>
      </c>
      <c r="O454" s="190" t="str">
        <f>"["&amp;$C454&amp;"]["&amp;$D454&amp;"]["&amp;$F454&amp;"]"</f>
        <v>[S05_DefaultValues][48][InstallationNumber]</v>
      </c>
    </row>
    <row r="455" spans="1:15" x14ac:dyDescent="0.3">
      <c r="A455" t="s">
        <v>2277</v>
      </c>
      <c r="B455" t="s">
        <v>1847</v>
      </c>
      <c r="C455" t="s">
        <v>1855</v>
      </c>
      <c r="D455">
        <v>49</v>
      </c>
      <c r="E455" t="s">
        <v>1447</v>
      </c>
      <c r="F455" t="s">
        <v>1858</v>
      </c>
      <c r="G455" t="s">
        <v>1748</v>
      </c>
      <c r="H455" t="s">
        <v>2279</v>
      </c>
      <c r="I455">
        <v>2</v>
      </c>
      <c r="J455" t="s">
        <v>2279</v>
      </c>
      <c r="K455" t="s">
        <v>2279</v>
      </c>
      <c r="L455" t="s">
        <v>2279</v>
      </c>
      <c r="M455" t="s">
        <v>2279</v>
      </c>
      <c r="N455" t="s">
        <v>2279</v>
      </c>
      <c r="O455" s="190" t="str">
        <f>"["&amp;$C455&amp;"]["&amp;$D455&amp;"]["&amp;$F455&amp;"]"</f>
        <v>[S05_DefaultValues][49][InstallationNumber]</v>
      </c>
    </row>
    <row r="456" spans="1:15" x14ac:dyDescent="0.3">
      <c r="A456" t="s">
        <v>2277</v>
      </c>
      <c r="B456" t="s">
        <v>1847</v>
      </c>
      <c r="C456" t="s">
        <v>1855</v>
      </c>
      <c r="D456">
        <v>50</v>
      </c>
      <c r="E456" t="s">
        <v>1447</v>
      </c>
      <c r="F456" t="s">
        <v>1858</v>
      </c>
      <c r="G456" t="s">
        <v>1748</v>
      </c>
      <c r="H456" t="s">
        <v>2279</v>
      </c>
      <c r="I456">
        <v>3</v>
      </c>
      <c r="J456" t="s">
        <v>2279</v>
      </c>
      <c r="K456" t="s">
        <v>2279</v>
      </c>
      <c r="L456" t="s">
        <v>2279</v>
      </c>
      <c r="M456" t="s">
        <v>2279</v>
      </c>
      <c r="N456" t="s">
        <v>2279</v>
      </c>
      <c r="O456" s="190" t="str">
        <f>"["&amp;$C456&amp;"]["&amp;$D456&amp;"]["&amp;$F456&amp;"]"</f>
        <v>[S05_DefaultValues][50][InstallationNumber]</v>
      </c>
    </row>
    <row r="457" spans="1:15" x14ac:dyDescent="0.3">
      <c r="A457" t="s">
        <v>2277</v>
      </c>
      <c r="B457" t="s">
        <v>1847</v>
      </c>
      <c r="C457" t="s">
        <v>1855</v>
      </c>
      <c r="D457">
        <v>51</v>
      </c>
      <c r="E457" t="s">
        <v>1447</v>
      </c>
      <c r="F457" t="s">
        <v>1858</v>
      </c>
      <c r="G457" t="s">
        <v>1748</v>
      </c>
      <c r="H457" t="s">
        <v>2279</v>
      </c>
      <c r="I457">
        <v>1</v>
      </c>
      <c r="J457" t="s">
        <v>2279</v>
      </c>
      <c r="K457" t="s">
        <v>2279</v>
      </c>
      <c r="L457" t="s">
        <v>2279</v>
      </c>
      <c r="M457" t="s">
        <v>2279</v>
      </c>
      <c r="N457" t="s">
        <v>2279</v>
      </c>
      <c r="O457" s="190" t="str">
        <f>"["&amp;$C457&amp;"]["&amp;$D457&amp;"]["&amp;$F457&amp;"]"</f>
        <v>[S05_DefaultValues][51][InstallationNumber]</v>
      </c>
    </row>
    <row r="458" spans="1:15" x14ac:dyDescent="0.3">
      <c r="A458" t="s">
        <v>2277</v>
      </c>
      <c r="B458" t="s">
        <v>1847</v>
      </c>
      <c r="C458" t="s">
        <v>1855</v>
      </c>
      <c r="D458">
        <v>52</v>
      </c>
      <c r="E458" t="s">
        <v>1447</v>
      </c>
      <c r="F458" t="s">
        <v>1858</v>
      </c>
      <c r="G458" t="s">
        <v>1748</v>
      </c>
      <c r="H458" t="s">
        <v>2279</v>
      </c>
      <c r="I458">
        <v>2</v>
      </c>
      <c r="J458" t="s">
        <v>2279</v>
      </c>
      <c r="K458" t="s">
        <v>2279</v>
      </c>
      <c r="L458" t="s">
        <v>2279</v>
      </c>
      <c r="M458" t="s">
        <v>2279</v>
      </c>
      <c r="N458" t="s">
        <v>2279</v>
      </c>
      <c r="O458" s="190" t="str">
        <f>"["&amp;$C458&amp;"]["&amp;$D458&amp;"]["&amp;$F458&amp;"]"</f>
        <v>[S05_DefaultValues][52][InstallationNumber]</v>
      </c>
    </row>
    <row r="459" spans="1:15" x14ac:dyDescent="0.3">
      <c r="A459" t="s">
        <v>2277</v>
      </c>
      <c r="B459" t="s">
        <v>1847</v>
      </c>
      <c r="C459" t="s">
        <v>1855</v>
      </c>
      <c r="D459">
        <v>53</v>
      </c>
      <c r="E459" t="s">
        <v>1447</v>
      </c>
      <c r="F459" t="s">
        <v>1858</v>
      </c>
      <c r="G459" t="s">
        <v>1748</v>
      </c>
      <c r="H459" t="s">
        <v>2279</v>
      </c>
      <c r="I459">
        <v>4</v>
      </c>
      <c r="J459" t="s">
        <v>2279</v>
      </c>
      <c r="K459" t="s">
        <v>2279</v>
      </c>
      <c r="L459" t="s">
        <v>2279</v>
      </c>
      <c r="M459" t="s">
        <v>2279</v>
      </c>
      <c r="N459" t="s">
        <v>2279</v>
      </c>
      <c r="O459" s="190" t="str">
        <f>"["&amp;$C459&amp;"]["&amp;$D459&amp;"]["&amp;$F459&amp;"]"</f>
        <v>[S05_DefaultValues][53][InstallationNumber]</v>
      </c>
    </row>
    <row r="460" spans="1:15" x14ac:dyDescent="0.3">
      <c r="A460" t="s">
        <v>2277</v>
      </c>
      <c r="B460" t="s">
        <v>1847</v>
      </c>
      <c r="C460" t="s">
        <v>1855</v>
      </c>
      <c r="D460">
        <v>54</v>
      </c>
      <c r="E460" t="s">
        <v>1447</v>
      </c>
      <c r="F460" t="s">
        <v>1858</v>
      </c>
      <c r="G460" t="s">
        <v>1748</v>
      </c>
      <c r="H460" t="s">
        <v>2279</v>
      </c>
      <c r="I460">
        <v>4</v>
      </c>
      <c r="J460" t="s">
        <v>2279</v>
      </c>
      <c r="K460" t="s">
        <v>2279</v>
      </c>
      <c r="L460" t="s">
        <v>2279</v>
      </c>
      <c r="M460" t="s">
        <v>2279</v>
      </c>
      <c r="N460" t="s">
        <v>2279</v>
      </c>
      <c r="O460" s="190" t="str">
        <f>"["&amp;$C460&amp;"]["&amp;$D460&amp;"]["&amp;$F460&amp;"]"</f>
        <v>[S05_DefaultValues][54][InstallationNumber]</v>
      </c>
    </row>
    <row r="461" spans="1:15" x14ac:dyDescent="0.3">
      <c r="A461" t="s">
        <v>2277</v>
      </c>
      <c r="B461" t="s">
        <v>1847</v>
      </c>
      <c r="C461" t="s">
        <v>1855</v>
      </c>
      <c r="D461">
        <v>55</v>
      </c>
      <c r="E461" t="s">
        <v>1447</v>
      </c>
      <c r="F461" t="s">
        <v>1858</v>
      </c>
      <c r="G461" t="s">
        <v>1748</v>
      </c>
      <c r="H461" t="s">
        <v>2279</v>
      </c>
      <c r="I461">
        <v>2</v>
      </c>
      <c r="J461" t="s">
        <v>2279</v>
      </c>
      <c r="K461" t="s">
        <v>2279</v>
      </c>
      <c r="L461" t="s">
        <v>2279</v>
      </c>
      <c r="M461" t="s">
        <v>2279</v>
      </c>
      <c r="N461" t="s">
        <v>2279</v>
      </c>
      <c r="O461" s="190" t="str">
        <f>"["&amp;$C461&amp;"]["&amp;$D461&amp;"]["&amp;$F461&amp;"]"</f>
        <v>[S05_DefaultValues][55][InstallationNumber]</v>
      </c>
    </row>
    <row r="462" spans="1:15" x14ac:dyDescent="0.3">
      <c r="A462" t="s">
        <v>2277</v>
      </c>
      <c r="B462" t="s">
        <v>1847</v>
      </c>
      <c r="C462" t="s">
        <v>1855</v>
      </c>
      <c r="D462">
        <v>56</v>
      </c>
      <c r="E462" t="s">
        <v>1447</v>
      </c>
      <c r="F462" t="s">
        <v>1858</v>
      </c>
      <c r="G462" t="s">
        <v>1748</v>
      </c>
      <c r="H462" t="s">
        <v>2279</v>
      </c>
      <c r="I462">
        <v>5</v>
      </c>
      <c r="J462" t="s">
        <v>2279</v>
      </c>
      <c r="K462" t="s">
        <v>2279</v>
      </c>
      <c r="L462" t="s">
        <v>2279</v>
      </c>
      <c r="M462" t="s">
        <v>2279</v>
      </c>
      <c r="N462" t="s">
        <v>2279</v>
      </c>
      <c r="O462" s="190" t="str">
        <f>"["&amp;$C462&amp;"]["&amp;$D462&amp;"]["&amp;$F462&amp;"]"</f>
        <v>[S05_DefaultValues][56][InstallationNumber]</v>
      </c>
    </row>
    <row r="463" spans="1:15" x14ac:dyDescent="0.3">
      <c r="A463" t="s">
        <v>2277</v>
      </c>
      <c r="B463" t="s">
        <v>1847</v>
      </c>
      <c r="C463" t="s">
        <v>1855</v>
      </c>
      <c r="D463">
        <v>57</v>
      </c>
      <c r="E463" t="s">
        <v>1447</v>
      </c>
      <c r="F463" t="s">
        <v>1858</v>
      </c>
      <c r="G463" t="s">
        <v>1748</v>
      </c>
      <c r="H463" t="s">
        <v>2279</v>
      </c>
      <c r="I463">
        <v>2</v>
      </c>
      <c r="J463" t="s">
        <v>2279</v>
      </c>
      <c r="K463" t="s">
        <v>2279</v>
      </c>
      <c r="L463" t="s">
        <v>2279</v>
      </c>
      <c r="M463" t="s">
        <v>2279</v>
      </c>
      <c r="N463" t="s">
        <v>2279</v>
      </c>
      <c r="O463" s="190" t="str">
        <f>"["&amp;$C463&amp;"]["&amp;$D463&amp;"]["&amp;$F463&amp;"]"</f>
        <v>[S05_DefaultValues][57][InstallationNumber]</v>
      </c>
    </row>
    <row r="464" spans="1:15" x14ac:dyDescent="0.3">
      <c r="A464" t="s">
        <v>2277</v>
      </c>
      <c r="B464" t="s">
        <v>1847</v>
      </c>
      <c r="C464" t="s">
        <v>1855</v>
      </c>
      <c r="D464">
        <v>58</v>
      </c>
      <c r="E464" t="s">
        <v>1447</v>
      </c>
      <c r="F464" t="s">
        <v>1858</v>
      </c>
      <c r="G464" t="s">
        <v>1748</v>
      </c>
      <c r="H464" t="s">
        <v>2279</v>
      </c>
      <c r="I464">
        <v>2</v>
      </c>
      <c r="J464" t="s">
        <v>2279</v>
      </c>
      <c r="K464" t="s">
        <v>2279</v>
      </c>
      <c r="L464" t="s">
        <v>2279</v>
      </c>
      <c r="M464" t="s">
        <v>2279</v>
      </c>
      <c r="N464" t="s">
        <v>2279</v>
      </c>
      <c r="O464" s="190" t="str">
        <f>"["&amp;$C464&amp;"]["&amp;$D464&amp;"]["&amp;$F464&amp;"]"</f>
        <v>[S05_DefaultValues][58][InstallationNumber]</v>
      </c>
    </row>
    <row r="465" spans="1:15" x14ac:dyDescent="0.3">
      <c r="A465" t="s">
        <v>2277</v>
      </c>
      <c r="B465" t="s">
        <v>1847</v>
      </c>
      <c r="C465" t="s">
        <v>1855</v>
      </c>
      <c r="D465">
        <v>59</v>
      </c>
      <c r="E465" t="s">
        <v>1447</v>
      </c>
      <c r="F465" t="s">
        <v>1858</v>
      </c>
      <c r="G465" t="s">
        <v>1748</v>
      </c>
      <c r="H465" t="s">
        <v>2279</v>
      </c>
      <c r="I465">
        <v>1</v>
      </c>
      <c r="J465" t="s">
        <v>2279</v>
      </c>
      <c r="K465" t="s">
        <v>2279</v>
      </c>
      <c r="L465" t="s">
        <v>2279</v>
      </c>
      <c r="M465" t="s">
        <v>2279</v>
      </c>
      <c r="N465" t="s">
        <v>2279</v>
      </c>
      <c r="O465" s="190" t="str">
        <f>"["&amp;$C465&amp;"]["&amp;$D465&amp;"]["&amp;$F465&amp;"]"</f>
        <v>[S05_DefaultValues][59][InstallationNumber]</v>
      </c>
    </row>
    <row r="466" spans="1:15" x14ac:dyDescent="0.3">
      <c r="A466" t="s">
        <v>2277</v>
      </c>
      <c r="B466" t="s">
        <v>1847</v>
      </c>
      <c r="C466" t="s">
        <v>1855</v>
      </c>
      <c r="D466">
        <v>60</v>
      </c>
      <c r="E466" t="s">
        <v>1447</v>
      </c>
      <c r="F466" t="s">
        <v>1858</v>
      </c>
      <c r="G466" t="s">
        <v>1748</v>
      </c>
      <c r="H466" t="s">
        <v>2279</v>
      </c>
      <c r="I466">
        <v>1</v>
      </c>
      <c r="J466" t="s">
        <v>2279</v>
      </c>
      <c r="K466" t="s">
        <v>2279</v>
      </c>
      <c r="L466" t="s">
        <v>2279</v>
      </c>
      <c r="M466" t="s">
        <v>2279</v>
      </c>
      <c r="N466" t="s">
        <v>2279</v>
      </c>
      <c r="O466" s="190" t="str">
        <f>"["&amp;$C466&amp;"]["&amp;$D466&amp;"]["&amp;$F466&amp;"]"</f>
        <v>[S05_DefaultValues][60][InstallationNumber]</v>
      </c>
    </row>
    <row r="467" spans="1:15" x14ac:dyDescent="0.3">
      <c r="A467" t="s">
        <v>2277</v>
      </c>
      <c r="B467" t="s">
        <v>1847</v>
      </c>
      <c r="C467" t="s">
        <v>1855</v>
      </c>
      <c r="D467">
        <v>61</v>
      </c>
      <c r="E467" t="s">
        <v>1447</v>
      </c>
      <c r="F467" t="s">
        <v>1858</v>
      </c>
      <c r="G467" t="s">
        <v>1748</v>
      </c>
      <c r="H467" t="s">
        <v>2279</v>
      </c>
      <c r="I467">
        <v>2</v>
      </c>
      <c r="J467" t="s">
        <v>2279</v>
      </c>
      <c r="K467" t="s">
        <v>2279</v>
      </c>
      <c r="L467" t="s">
        <v>2279</v>
      </c>
      <c r="M467" t="s">
        <v>2279</v>
      </c>
      <c r="N467" t="s">
        <v>2279</v>
      </c>
      <c r="O467" s="190" t="str">
        <f>"["&amp;$C467&amp;"]["&amp;$D467&amp;"]["&amp;$F467&amp;"]"</f>
        <v>[S05_DefaultValues][61][InstallationNumber]</v>
      </c>
    </row>
    <row r="468" spans="1:15" x14ac:dyDescent="0.3">
      <c r="A468" t="s">
        <v>2277</v>
      </c>
      <c r="B468" t="s">
        <v>1847</v>
      </c>
      <c r="C468" t="s">
        <v>1855</v>
      </c>
      <c r="D468">
        <v>62</v>
      </c>
      <c r="E468" t="s">
        <v>1447</v>
      </c>
      <c r="F468" t="s">
        <v>1858</v>
      </c>
      <c r="G468" t="s">
        <v>1748</v>
      </c>
      <c r="H468" t="s">
        <v>2279</v>
      </c>
      <c r="I468">
        <v>1</v>
      </c>
      <c r="J468" t="s">
        <v>2279</v>
      </c>
      <c r="K468" t="s">
        <v>2279</v>
      </c>
      <c r="L468" t="s">
        <v>2279</v>
      </c>
      <c r="M468" t="s">
        <v>2279</v>
      </c>
      <c r="N468" t="s">
        <v>2279</v>
      </c>
      <c r="O468" s="190" t="str">
        <f>"["&amp;$C468&amp;"]["&amp;$D468&amp;"]["&amp;$F468&amp;"]"</f>
        <v>[S05_DefaultValues][62][InstallationNumber]</v>
      </c>
    </row>
    <row r="469" spans="1:15" x14ac:dyDescent="0.3">
      <c r="A469" t="s">
        <v>2277</v>
      </c>
      <c r="B469" t="s">
        <v>1847</v>
      </c>
      <c r="C469" t="s">
        <v>1855</v>
      </c>
      <c r="D469">
        <v>63</v>
      </c>
      <c r="E469" t="s">
        <v>1447</v>
      </c>
      <c r="F469" t="s">
        <v>1858</v>
      </c>
      <c r="G469" t="s">
        <v>1748</v>
      </c>
      <c r="H469" t="s">
        <v>2279</v>
      </c>
      <c r="I469">
        <v>8</v>
      </c>
      <c r="J469" t="s">
        <v>2279</v>
      </c>
      <c r="K469" t="s">
        <v>2279</v>
      </c>
      <c r="L469" t="s">
        <v>2279</v>
      </c>
      <c r="M469" t="s">
        <v>2279</v>
      </c>
      <c r="N469" t="s">
        <v>2279</v>
      </c>
      <c r="O469" s="190" t="str">
        <f>"["&amp;$C469&amp;"]["&amp;$D469&amp;"]["&amp;$F469&amp;"]"</f>
        <v>[S05_DefaultValues][63][InstallationNumber]</v>
      </c>
    </row>
    <row r="470" spans="1:15" x14ac:dyDescent="0.3">
      <c r="A470" t="s">
        <v>2277</v>
      </c>
      <c r="B470" t="s">
        <v>1847</v>
      </c>
      <c r="C470" t="s">
        <v>1855</v>
      </c>
      <c r="D470">
        <v>64</v>
      </c>
      <c r="E470" t="s">
        <v>1447</v>
      </c>
      <c r="F470" t="s">
        <v>1858</v>
      </c>
      <c r="G470" t="s">
        <v>1748</v>
      </c>
      <c r="H470" t="s">
        <v>2279</v>
      </c>
      <c r="I470">
        <v>1</v>
      </c>
      <c r="J470" t="s">
        <v>2279</v>
      </c>
      <c r="K470" t="s">
        <v>2279</v>
      </c>
      <c r="L470" t="s">
        <v>2279</v>
      </c>
      <c r="M470" t="s">
        <v>2279</v>
      </c>
      <c r="N470" t="s">
        <v>2279</v>
      </c>
      <c r="O470" s="190" t="str">
        <f>"["&amp;$C470&amp;"]["&amp;$D470&amp;"]["&amp;$F470&amp;"]"</f>
        <v>[S05_DefaultValues][64][InstallationNumber]</v>
      </c>
    </row>
    <row r="471" spans="1:15" x14ac:dyDescent="0.3">
      <c r="A471" t="s">
        <v>2277</v>
      </c>
      <c r="B471" t="s">
        <v>1847</v>
      </c>
      <c r="C471" t="s">
        <v>1855</v>
      </c>
      <c r="D471">
        <v>65</v>
      </c>
      <c r="E471" t="s">
        <v>1447</v>
      </c>
      <c r="F471" t="s">
        <v>1858</v>
      </c>
      <c r="G471" t="s">
        <v>1748</v>
      </c>
      <c r="H471" t="s">
        <v>2279</v>
      </c>
      <c r="I471">
        <v>15</v>
      </c>
      <c r="J471" t="s">
        <v>2279</v>
      </c>
      <c r="K471" t="s">
        <v>2279</v>
      </c>
      <c r="L471" t="s">
        <v>2279</v>
      </c>
      <c r="M471" t="s">
        <v>2279</v>
      </c>
      <c r="N471" t="s">
        <v>2279</v>
      </c>
      <c r="O471" s="190" t="str">
        <f>"["&amp;$C471&amp;"]["&amp;$D471&amp;"]["&amp;$F471&amp;"]"</f>
        <v>[S05_DefaultValues][65][InstallationNumber]</v>
      </c>
    </row>
    <row r="472" spans="1:15" x14ac:dyDescent="0.3">
      <c r="A472" t="s">
        <v>2277</v>
      </c>
      <c r="B472" t="s">
        <v>1847</v>
      </c>
      <c r="C472" t="s">
        <v>1855</v>
      </c>
      <c r="D472">
        <v>66</v>
      </c>
      <c r="E472" t="s">
        <v>1447</v>
      </c>
      <c r="F472" t="s">
        <v>1858</v>
      </c>
      <c r="G472" t="s">
        <v>1748</v>
      </c>
      <c r="H472" t="s">
        <v>2279</v>
      </c>
      <c r="I472">
        <v>8</v>
      </c>
      <c r="J472" t="s">
        <v>2279</v>
      </c>
      <c r="K472" t="s">
        <v>2279</v>
      </c>
      <c r="L472" t="s">
        <v>2279</v>
      </c>
      <c r="M472" t="s">
        <v>2279</v>
      </c>
      <c r="N472" t="s">
        <v>2279</v>
      </c>
      <c r="O472" s="190" t="str">
        <f>"["&amp;$C472&amp;"]["&amp;$D472&amp;"]["&amp;$F472&amp;"]"</f>
        <v>[S05_DefaultValues][66][InstallationNumber]</v>
      </c>
    </row>
    <row r="473" spans="1:15" x14ac:dyDescent="0.3">
      <c r="A473" t="s">
        <v>2277</v>
      </c>
      <c r="B473" t="s">
        <v>1847</v>
      </c>
      <c r="C473" t="s">
        <v>1855</v>
      </c>
      <c r="D473">
        <v>67</v>
      </c>
      <c r="E473" t="s">
        <v>1447</v>
      </c>
      <c r="F473" t="s">
        <v>1858</v>
      </c>
      <c r="G473" t="s">
        <v>1748</v>
      </c>
      <c r="H473" t="s">
        <v>2279</v>
      </c>
      <c r="I473">
        <v>4</v>
      </c>
      <c r="J473" t="s">
        <v>2279</v>
      </c>
      <c r="K473" t="s">
        <v>2279</v>
      </c>
      <c r="L473" t="s">
        <v>2279</v>
      </c>
      <c r="M473" t="s">
        <v>2279</v>
      </c>
      <c r="N473" t="s">
        <v>2279</v>
      </c>
      <c r="O473" s="190" t="str">
        <f>"["&amp;$C473&amp;"]["&amp;$D473&amp;"]["&amp;$F473&amp;"]"</f>
        <v>[S05_DefaultValues][67][InstallationNumber]</v>
      </c>
    </row>
    <row r="474" spans="1:15" x14ac:dyDescent="0.3">
      <c r="A474" t="s">
        <v>2277</v>
      </c>
      <c r="B474" t="s">
        <v>1847</v>
      </c>
      <c r="C474" t="s">
        <v>1855</v>
      </c>
      <c r="D474">
        <v>68</v>
      </c>
      <c r="E474" t="s">
        <v>1447</v>
      </c>
      <c r="F474" t="s">
        <v>1858</v>
      </c>
      <c r="G474" t="s">
        <v>1748</v>
      </c>
      <c r="H474" t="s">
        <v>2279</v>
      </c>
      <c r="I474">
        <v>2</v>
      </c>
      <c r="J474" t="s">
        <v>2279</v>
      </c>
      <c r="K474" t="s">
        <v>2279</v>
      </c>
      <c r="L474" t="s">
        <v>2279</v>
      </c>
      <c r="M474" t="s">
        <v>2279</v>
      </c>
      <c r="N474" t="s">
        <v>2279</v>
      </c>
      <c r="O474" s="190" t="str">
        <f>"["&amp;$C474&amp;"]["&amp;$D474&amp;"]["&amp;$F474&amp;"]"</f>
        <v>[S05_DefaultValues][68][InstallationNumber]</v>
      </c>
    </row>
    <row r="475" spans="1:15" x14ac:dyDescent="0.3">
      <c r="A475" t="s">
        <v>2277</v>
      </c>
      <c r="B475" t="s">
        <v>1847</v>
      </c>
      <c r="C475" t="s">
        <v>1855</v>
      </c>
      <c r="D475">
        <v>69</v>
      </c>
      <c r="E475" t="s">
        <v>1447</v>
      </c>
      <c r="F475" t="s">
        <v>1858</v>
      </c>
      <c r="G475" t="s">
        <v>1748</v>
      </c>
      <c r="H475" t="s">
        <v>2279</v>
      </c>
      <c r="I475">
        <v>23</v>
      </c>
      <c r="J475" t="s">
        <v>2279</v>
      </c>
      <c r="K475" t="s">
        <v>2279</v>
      </c>
      <c r="L475" t="s">
        <v>2279</v>
      </c>
      <c r="M475" t="s">
        <v>2279</v>
      </c>
      <c r="N475" t="s">
        <v>2279</v>
      </c>
      <c r="O475" s="190" t="str">
        <f>"["&amp;$C475&amp;"]["&amp;$D475&amp;"]["&amp;$F475&amp;"]"</f>
        <v>[S05_DefaultValues][69][InstallationNumber]</v>
      </c>
    </row>
    <row r="476" spans="1:15" x14ac:dyDescent="0.3">
      <c r="A476" t="s">
        <v>2277</v>
      </c>
      <c r="B476" t="s">
        <v>1847</v>
      </c>
      <c r="C476" t="s">
        <v>1855</v>
      </c>
      <c r="D476">
        <v>70</v>
      </c>
      <c r="E476" t="s">
        <v>1447</v>
      </c>
      <c r="F476" t="s">
        <v>1858</v>
      </c>
      <c r="G476" t="s">
        <v>1748</v>
      </c>
      <c r="H476" t="s">
        <v>2279</v>
      </c>
      <c r="I476">
        <v>4</v>
      </c>
      <c r="J476" t="s">
        <v>2279</v>
      </c>
      <c r="K476" t="s">
        <v>2279</v>
      </c>
      <c r="L476" t="s">
        <v>2279</v>
      </c>
      <c r="M476" t="s">
        <v>2279</v>
      </c>
      <c r="N476" t="s">
        <v>2279</v>
      </c>
      <c r="O476" s="190" t="str">
        <f>"["&amp;$C476&amp;"]["&amp;$D476&amp;"]["&amp;$F476&amp;"]"</f>
        <v>[S05_DefaultValues][70][InstallationNumber]</v>
      </c>
    </row>
    <row r="477" spans="1:15" x14ac:dyDescent="0.3">
      <c r="A477" t="s">
        <v>2277</v>
      </c>
      <c r="B477" t="s">
        <v>1847</v>
      </c>
      <c r="C477" t="s">
        <v>1855</v>
      </c>
      <c r="D477">
        <v>71</v>
      </c>
      <c r="E477" t="s">
        <v>1447</v>
      </c>
      <c r="F477" t="s">
        <v>1858</v>
      </c>
      <c r="G477" t="s">
        <v>1748</v>
      </c>
      <c r="H477" t="s">
        <v>2279</v>
      </c>
      <c r="I477">
        <v>8</v>
      </c>
      <c r="J477" t="s">
        <v>2279</v>
      </c>
      <c r="K477" t="s">
        <v>2279</v>
      </c>
      <c r="L477" t="s">
        <v>2279</v>
      </c>
      <c r="M477" t="s">
        <v>2279</v>
      </c>
      <c r="N477" t="s">
        <v>2279</v>
      </c>
      <c r="O477" s="190" t="str">
        <f>"["&amp;$C477&amp;"]["&amp;$D477&amp;"]["&amp;$F477&amp;"]"</f>
        <v>[S05_DefaultValues][71][InstallationNumber]</v>
      </c>
    </row>
    <row r="478" spans="1:15" x14ac:dyDescent="0.3">
      <c r="A478" t="s">
        <v>2277</v>
      </c>
      <c r="B478" t="s">
        <v>1847</v>
      </c>
      <c r="C478" t="s">
        <v>1855</v>
      </c>
      <c r="D478">
        <v>72</v>
      </c>
      <c r="E478" t="s">
        <v>1447</v>
      </c>
      <c r="F478" t="s">
        <v>1858</v>
      </c>
      <c r="G478" t="s">
        <v>1748</v>
      </c>
      <c r="H478" t="s">
        <v>2279</v>
      </c>
      <c r="I478">
        <v>1</v>
      </c>
      <c r="J478" t="s">
        <v>2279</v>
      </c>
      <c r="K478" t="s">
        <v>2279</v>
      </c>
      <c r="L478" t="s">
        <v>2279</v>
      </c>
      <c r="M478" t="s">
        <v>2279</v>
      </c>
      <c r="N478" t="s">
        <v>2279</v>
      </c>
      <c r="O478" s="190" t="str">
        <f>"["&amp;$C478&amp;"]["&amp;$D478&amp;"]["&amp;$F478&amp;"]"</f>
        <v>[S05_DefaultValues][72][InstallationNumber]</v>
      </c>
    </row>
    <row r="479" spans="1:15" x14ac:dyDescent="0.3">
      <c r="A479" t="s">
        <v>2277</v>
      </c>
      <c r="B479" t="s">
        <v>1847</v>
      </c>
      <c r="C479" t="s">
        <v>1855</v>
      </c>
      <c r="D479">
        <v>73</v>
      </c>
      <c r="E479" t="s">
        <v>1447</v>
      </c>
      <c r="F479" t="s">
        <v>1858</v>
      </c>
      <c r="G479" t="s">
        <v>1748</v>
      </c>
      <c r="H479" t="s">
        <v>2279</v>
      </c>
      <c r="I479">
        <v>1</v>
      </c>
      <c r="J479" t="s">
        <v>2279</v>
      </c>
      <c r="K479" t="s">
        <v>2279</v>
      </c>
      <c r="L479" t="s">
        <v>2279</v>
      </c>
      <c r="M479" t="s">
        <v>2279</v>
      </c>
      <c r="N479" t="s">
        <v>2279</v>
      </c>
      <c r="O479" s="190" t="str">
        <f>"["&amp;$C479&amp;"]["&amp;$D479&amp;"]["&amp;$F479&amp;"]"</f>
        <v>[S05_DefaultValues][73][InstallationNumber]</v>
      </c>
    </row>
    <row r="480" spans="1:15" x14ac:dyDescent="0.3">
      <c r="A480" t="s">
        <v>2277</v>
      </c>
      <c r="B480" t="s">
        <v>1847</v>
      </c>
      <c r="C480" t="s">
        <v>1855</v>
      </c>
      <c r="D480">
        <v>74</v>
      </c>
      <c r="E480" t="s">
        <v>1447</v>
      </c>
      <c r="F480" t="s">
        <v>1858</v>
      </c>
      <c r="G480" t="s">
        <v>1748</v>
      </c>
      <c r="H480" t="s">
        <v>2279</v>
      </c>
      <c r="I480">
        <v>1</v>
      </c>
      <c r="J480" t="s">
        <v>2279</v>
      </c>
      <c r="K480" t="s">
        <v>2279</v>
      </c>
      <c r="L480" t="s">
        <v>2279</v>
      </c>
      <c r="M480" t="s">
        <v>2279</v>
      </c>
      <c r="N480" t="s">
        <v>2279</v>
      </c>
      <c r="O480" s="190" t="str">
        <f>"["&amp;$C480&amp;"]["&amp;$D480&amp;"]["&amp;$F480&amp;"]"</f>
        <v>[S05_DefaultValues][74][InstallationNumber]</v>
      </c>
    </row>
    <row r="481" spans="1:15" x14ac:dyDescent="0.3">
      <c r="A481" t="s">
        <v>2277</v>
      </c>
      <c r="B481" t="s">
        <v>1847</v>
      </c>
      <c r="C481" t="s">
        <v>1855</v>
      </c>
      <c r="D481">
        <v>75</v>
      </c>
      <c r="E481" t="s">
        <v>1447</v>
      </c>
      <c r="F481" t="s">
        <v>1858</v>
      </c>
      <c r="G481" t="s">
        <v>1748</v>
      </c>
      <c r="H481" t="s">
        <v>2279</v>
      </c>
      <c r="I481">
        <v>11</v>
      </c>
      <c r="J481" t="s">
        <v>2279</v>
      </c>
      <c r="K481" t="s">
        <v>2279</v>
      </c>
      <c r="L481" t="s">
        <v>2279</v>
      </c>
      <c r="M481" t="s">
        <v>2279</v>
      </c>
      <c r="N481" t="s">
        <v>2279</v>
      </c>
      <c r="O481" s="190" t="str">
        <f>"["&amp;$C481&amp;"]["&amp;$D481&amp;"]["&amp;$F481&amp;"]"</f>
        <v>[S05_DefaultValues][75][InstallationNumber]</v>
      </c>
    </row>
    <row r="482" spans="1:15" x14ac:dyDescent="0.3">
      <c r="A482" t="s">
        <v>2277</v>
      </c>
      <c r="B482" t="s">
        <v>1847</v>
      </c>
      <c r="C482" t="s">
        <v>1855</v>
      </c>
      <c r="D482">
        <v>76</v>
      </c>
      <c r="E482" t="s">
        <v>1447</v>
      </c>
      <c r="F482" t="s">
        <v>1858</v>
      </c>
      <c r="G482" t="s">
        <v>1748</v>
      </c>
      <c r="H482" t="s">
        <v>2279</v>
      </c>
      <c r="I482">
        <v>2</v>
      </c>
      <c r="J482" t="s">
        <v>2279</v>
      </c>
      <c r="K482" t="s">
        <v>2279</v>
      </c>
      <c r="L482" t="s">
        <v>2279</v>
      </c>
      <c r="M482" t="s">
        <v>2279</v>
      </c>
      <c r="N482" t="s">
        <v>2279</v>
      </c>
      <c r="O482" s="190" t="str">
        <f>"["&amp;$C482&amp;"]["&amp;$D482&amp;"]["&amp;$F482&amp;"]"</f>
        <v>[S05_DefaultValues][76][InstallationNumber]</v>
      </c>
    </row>
    <row r="483" spans="1:15" x14ac:dyDescent="0.3">
      <c r="A483" t="s">
        <v>2277</v>
      </c>
      <c r="B483" t="s">
        <v>1847</v>
      </c>
      <c r="C483" t="s">
        <v>1855</v>
      </c>
      <c r="D483">
        <v>77</v>
      </c>
      <c r="E483" t="s">
        <v>1447</v>
      </c>
      <c r="F483" t="s">
        <v>1858</v>
      </c>
      <c r="G483" t="s">
        <v>1748</v>
      </c>
      <c r="H483" t="s">
        <v>2279</v>
      </c>
      <c r="I483">
        <v>6</v>
      </c>
      <c r="J483" t="s">
        <v>2279</v>
      </c>
      <c r="K483" t="s">
        <v>2279</v>
      </c>
      <c r="L483" t="s">
        <v>2279</v>
      </c>
      <c r="M483" t="s">
        <v>2279</v>
      </c>
      <c r="N483" t="s">
        <v>2279</v>
      </c>
      <c r="O483" s="190" t="str">
        <f>"["&amp;$C483&amp;"]["&amp;$D483&amp;"]["&amp;$F483&amp;"]"</f>
        <v>[S05_DefaultValues][77][InstallationNumber]</v>
      </c>
    </row>
    <row r="484" spans="1:15" x14ac:dyDescent="0.3">
      <c r="A484" t="s">
        <v>2277</v>
      </c>
      <c r="B484" t="s">
        <v>1847</v>
      </c>
      <c r="C484" t="s">
        <v>1855</v>
      </c>
      <c r="D484">
        <v>78</v>
      </c>
      <c r="E484" t="s">
        <v>1447</v>
      </c>
      <c r="F484" t="s">
        <v>1858</v>
      </c>
      <c r="G484" t="s">
        <v>1748</v>
      </c>
      <c r="H484" t="s">
        <v>2279</v>
      </c>
      <c r="I484">
        <v>1</v>
      </c>
      <c r="J484" t="s">
        <v>2279</v>
      </c>
      <c r="K484" t="s">
        <v>2279</v>
      </c>
      <c r="L484" t="s">
        <v>2279</v>
      </c>
      <c r="M484" t="s">
        <v>2279</v>
      </c>
      <c r="N484" t="s">
        <v>2279</v>
      </c>
      <c r="O484" s="190" t="str">
        <f>"["&amp;$C484&amp;"]["&amp;$D484&amp;"]["&amp;$F484&amp;"]"</f>
        <v>[S05_DefaultValues][78][InstallationNumber]</v>
      </c>
    </row>
    <row r="485" spans="1:15" x14ac:dyDescent="0.3">
      <c r="A485" t="s">
        <v>2277</v>
      </c>
      <c r="B485" t="s">
        <v>1847</v>
      </c>
      <c r="C485" t="s">
        <v>1855</v>
      </c>
      <c r="D485">
        <v>79</v>
      </c>
      <c r="E485" t="s">
        <v>1447</v>
      </c>
      <c r="F485" t="s">
        <v>1858</v>
      </c>
      <c r="G485" t="s">
        <v>1748</v>
      </c>
      <c r="H485" t="s">
        <v>2279</v>
      </c>
      <c r="I485">
        <v>9</v>
      </c>
      <c r="J485" t="s">
        <v>2279</v>
      </c>
      <c r="K485" t="s">
        <v>2279</v>
      </c>
      <c r="L485" t="s">
        <v>2279</v>
      </c>
      <c r="M485" t="s">
        <v>2279</v>
      </c>
      <c r="N485" t="s">
        <v>2279</v>
      </c>
      <c r="O485" s="190" t="str">
        <f>"["&amp;$C485&amp;"]["&amp;$D485&amp;"]["&amp;$F485&amp;"]"</f>
        <v>[S05_DefaultValues][79][InstallationNumber]</v>
      </c>
    </row>
    <row r="486" spans="1:15" x14ac:dyDescent="0.3">
      <c r="A486" t="s">
        <v>2277</v>
      </c>
      <c r="B486" t="s">
        <v>1847</v>
      </c>
      <c r="C486" t="s">
        <v>1855</v>
      </c>
      <c r="D486">
        <v>80</v>
      </c>
      <c r="E486" t="s">
        <v>1447</v>
      </c>
      <c r="F486" t="s">
        <v>1858</v>
      </c>
      <c r="G486" t="s">
        <v>1748</v>
      </c>
      <c r="H486" t="s">
        <v>2279</v>
      </c>
      <c r="I486">
        <v>2</v>
      </c>
      <c r="J486" t="s">
        <v>2279</v>
      </c>
      <c r="K486" t="s">
        <v>2279</v>
      </c>
      <c r="L486" t="s">
        <v>2279</v>
      </c>
      <c r="M486" t="s">
        <v>2279</v>
      </c>
      <c r="N486" t="s">
        <v>2279</v>
      </c>
      <c r="O486" s="190" t="str">
        <f>"["&amp;$C486&amp;"]["&amp;$D486&amp;"]["&amp;$F486&amp;"]"</f>
        <v>[S05_DefaultValues][80][InstallationNumber]</v>
      </c>
    </row>
    <row r="487" spans="1:15" x14ac:dyDescent="0.3">
      <c r="A487" t="s">
        <v>2277</v>
      </c>
      <c r="B487" t="s">
        <v>1847</v>
      </c>
      <c r="C487" t="s">
        <v>1855</v>
      </c>
      <c r="D487">
        <v>81</v>
      </c>
      <c r="E487" t="s">
        <v>1447</v>
      </c>
      <c r="F487" t="s">
        <v>1858</v>
      </c>
      <c r="G487" t="s">
        <v>1748</v>
      </c>
      <c r="H487" t="s">
        <v>2279</v>
      </c>
      <c r="I487">
        <v>1</v>
      </c>
      <c r="J487" t="s">
        <v>2279</v>
      </c>
      <c r="K487" t="s">
        <v>2279</v>
      </c>
      <c r="L487" t="s">
        <v>2279</v>
      </c>
      <c r="M487" t="s">
        <v>2279</v>
      </c>
      <c r="N487" t="s">
        <v>2279</v>
      </c>
      <c r="O487" s="190" t="str">
        <f>"["&amp;$C487&amp;"]["&amp;$D487&amp;"]["&amp;$F487&amp;"]"</f>
        <v>[S05_DefaultValues][81][InstallationNumber]</v>
      </c>
    </row>
    <row r="488" spans="1:15" x14ac:dyDescent="0.3">
      <c r="A488" t="s">
        <v>2277</v>
      </c>
      <c r="B488" t="s">
        <v>1847</v>
      </c>
      <c r="C488" t="s">
        <v>1855</v>
      </c>
      <c r="D488">
        <v>82</v>
      </c>
      <c r="E488" t="s">
        <v>1447</v>
      </c>
      <c r="F488" t="s">
        <v>1858</v>
      </c>
      <c r="G488" t="s">
        <v>1748</v>
      </c>
      <c r="H488" t="s">
        <v>2279</v>
      </c>
      <c r="I488">
        <v>4</v>
      </c>
      <c r="J488" t="s">
        <v>2279</v>
      </c>
      <c r="K488" t="s">
        <v>2279</v>
      </c>
      <c r="L488" t="s">
        <v>2279</v>
      </c>
      <c r="M488" t="s">
        <v>2279</v>
      </c>
      <c r="N488" t="s">
        <v>2279</v>
      </c>
      <c r="O488" s="190" t="str">
        <f>"["&amp;$C488&amp;"]["&amp;$D488&amp;"]["&amp;$F488&amp;"]"</f>
        <v>[S05_DefaultValues][82][InstallationNumber]</v>
      </c>
    </row>
    <row r="489" spans="1:15" x14ac:dyDescent="0.3">
      <c r="A489" t="s">
        <v>2277</v>
      </c>
      <c r="B489" t="s">
        <v>1847</v>
      </c>
      <c r="C489" t="s">
        <v>1855</v>
      </c>
      <c r="D489">
        <v>83</v>
      </c>
      <c r="E489" t="s">
        <v>1447</v>
      </c>
      <c r="F489" t="s">
        <v>1858</v>
      </c>
      <c r="G489" t="s">
        <v>1748</v>
      </c>
      <c r="H489" t="s">
        <v>2279</v>
      </c>
      <c r="I489">
        <v>1</v>
      </c>
      <c r="J489" t="s">
        <v>2279</v>
      </c>
      <c r="K489" t="s">
        <v>2279</v>
      </c>
      <c r="L489" t="s">
        <v>2279</v>
      </c>
      <c r="M489" t="s">
        <v>2279</v>
      </c>
      <c r="N489" t="s">
        <v>2279</v>
      </c>
      <c r="O489" s="190" t="str">
        <f>"["&amp;$C489&amp;"]["&amp;$D489&amp;"]["&amp;$F489&amp;"]"</f>
        <v>[S05_DefaultValues][83][InstallationNumber]</v>
      </c>
    </row>
    <row r="490" spans="1:15" x14ac:dyDescent="0.3">
      <c r="A490" t="s">
        <v>2277</v>
      </c>
      <c r="B490" t="s">
        <v>1859</v>
      </c>
      <c r="C490" t="s">
        <v>1860</v>
      </c>
      <c r="D490">
        <v>1</v>
      </c>
      <c r="E490" t="s">
        <v>1447</v>
      </c>
      <c r="F490" t="s">
        <v>1861</v>
      </c>
      <c r="G490" t="s">
        <v>1741</v>
      </c>
      <c r="H490" t="s">
        <v>2353</v>
      </c>
      <c r="I490" t="s">
        <v>2279</v>
      </c>
      <c r="J490" t="s">
        <v>2279</v>
      </c>
      <c r="K490" t="s">
        <v>2279</v>
      </c>
      <c r="L490" t="s">
        <v>2279</v>
      </c>
      <c r="M490" t="s">
        <v>2279</v>
      </c>
      <c r="N490" t="s">
        <v>2279</v>
      </c>
      <c r="O490" s="190" t="str">
        <f>"["&amp;$C490&amp;"]["&amp;$D490&amp;"]["&amp;$F490&amp;"]"</f>
        <v>[S05_InstallationDifferentSamplingFrequency][1][SamplingFuelMaterial]</v>
      </c>
    </row>
    <row r="491" spans="1:15" x14ac:dyDescent="0.3">
      <c r="A491" t="s">
        <v>2277</v>
      </c>
      <c r="B491" t="s">
        <v>1859</v>
      </c>
      <c r="C491" t="s">
        <v>1860</v>
      </c>
      <c r="D491">
        <v>2</v>
      </c>
      <c r="E491" t="s">
        <v>1447</v>
      </c>
      <c r="F491" t="s">
        <v>1861</v>
      </c>
      <c r="G491" t="s">
        <v>1741</v>
      </c>
      <c r="H491" t="s">
        <v>2354</v>
      </c>
      <c r="I491" t="s">
        <v>2279</v>
      </c>
      <c r="J491" t="s">
        <v>2279</v>
      </c>
      <c r="K491" t="s">
        <v>2279</v>
      </c>
      <c r="L491" t="s">
        <v>2279</v>
      </c>
      <c r="M491" t="s">
        <v>2279</v>
      </c>
      <c r="N491" t="s">
        <v>2279</v>
      </c>
      <c r="O491" s="190" t="str">
        <f>"["&amp;$C491&amp;"]["&amp;$D491&amp;"]["&amp;$F491&amp;"]"</f>
        <v>[S05_InstallationDifferentSamplingFrequency][2][SamplingFuelMaterial]</v>
      </c>
    </row>
    <row r="492" spans="1:15" x14ac:dyDescent="0.3">
      <c r="A492" t="s">
        <v>2277</v>
      </c>
      <c r="B492" t="s">
        <v>1859</v>
      </c>
      <c r="C492" t="s">
        <v>1860</v>
      </c>
      <c r="D492">
        <v>1</v>
      </c>
      <c r="E492" t="s">
        <v>1447</v>
      </c>
      <c r="F492" t="s">
        <v>1862</v>
      </c>
      <c r="G492" t="s">
        <v>1748</v>
      </c>
      <c r="H492" t="s">
        <v>2279</v>
      </c>
      <c r="I492">
        <v>5</v>
      </c>
      <c r="J492" t="s">
        <v>2279</v>
      </c>
      <c r="K492" t="s">
        <v>2279</v>
      </c>
      <c r="L492" t="s">
        <v>2279</v>
      </c>
      <c r="M492" t="s">
        <v>2279</v>
      </c>
      <c r="N492" t="s">
        <v>2279</v>
      </c>
      <c r="O492" s="190" t="str">
        <f>"["&amp;$C492&amp;"]["&amp;$D492&amp;"]["&amp;$F492&amp;"]"</f>
        <v>[S05_InstallationDifferentSamplingFrequency][1][CountInstallationsDiffFrequency]</v>
      </c>
    </row>
    <row r="493" spans="1:15" x14ac:dyDescent="0.3">
      <c r="A493" t="s">
        <v>2277</v>
      </c>
      <c r="B493" t="s">
        <v>1859</v>
      </c>
      <c r="C493" t="s">
        <v>1860</v>
      </c>
      <c r="D493">
        <v>2</v>
      </c>
      <c r="E493" t="s">
        <v>1447</v>
      </c>
      <c r="F493" t="s">
        <v>1862</v>
      </c>
      <c r="G493" t="s">
        <v>1748</v>
      </c>
      <c r="H493" t="s">
        <v>2279</v>
      </c>
      <c r="I493">
        <v>1</v>
      </c>
      <c r="J493" t="s">
        <v>2279</v>
      </c>
      <c r="K493" t="s">
        <v>2279</v>
      </c>
      <c r="L493" t="s">
        <v>2279</v>
      </c>
      <c r="M493" t="s">
        <v>2279</v>
      </c>
      <c r="N493" t="s">
        <v>2279</v>
      </c>
      <c r="O493" s="190" t="str">
        <f>"["&amp;$C493&amp;"]["&amp;$D493&amp;"]["&amp;$F493&amp;"]"</f>
        <v>[S05_InstallationDifferentSamplingFrequency][2][CountInstallationsDiffFrequency]</v>
      </c>
    </row>
    <row r="494" spans="1:15" x14ac:dyDescent="0.3">
      <c r="A494" t="s">
        <v>2277</v>
      </c>
      <c r="B494" t="s">
        <v>1859</v>
      </c>
      <c r="C494" t="s">
        <v>1860</v>
      </c>
      <c r="D494">
        <v>1</v>
      </c>
      <c r="E494" t="s">
        <v>1447</v>
      </c>
      <c r="F494" t="s">
        <v>1863</v>
      </c>
      <c r="G494" t="s">
        <v>1748</v>
      </c>
      <c r="H494" t="s">
        <v>2279</v>
      </c>
      <c r="I494">
        <v>8</v>
      </c>
      <c r="J494" t="s">
        <v>2279</v>
      </c>
      <c r="K494" t="s">
        <v>2279</v>
      </c>
      <c r="L494" t="s">
        <v>2279</v>
      </c>
      <c r="M494" t="s">
        <v>2279</v>
      </c>
      <c r="N494" t="s">
        <v>2279</v>
      </c>
      <c r="O494" s="190" t="str">
        <f>"["&amp;$C494&amp;"]["&amp;$D494&amp;"]["&amp;$F494&amp;"]"</f>
        <v>[S05_InstallationDifferentSamplingFrequency][1][MajorSourceStreams]</v>
      </c>
    </row>
    <row r="495" spans="1:15" x14ac:dyDescent="0.3">
      <c r="A495" t="s">
        <v>2277</v>
      </c>
      <c r="B495" t="s">
        <v>1859</v>
      </c>
      <c r="C495" t="s">
        <v>1860</v>
      </c>
      <c r="D495">
        <v>2</v>
      </c>
      <c r="E495" t="s">
        <v>1447</v>
      </c>
      <c r="F495" t="s">
        <v>1863</v>
      </c>
      <c r="G495" t="s">
        <v>1748</v>
      </c>
      <c r="H495" t="s">
        <v>2279</v>
      </c>
      <c r="I495">
        <v>2</v>
      </c>
      <c r="J495" t="s">
        <v>2279</v>
      </c>
      <c r="K495" t="s">
        <v>2279</v>
      </c>
      <c r="L495" t="s">
        <v>2279</v>
      </c>
      <c r="M495" t="s">
        <v>2279</v>
      </c>
      <c r="N495" t="s">
        <v>2279</v>
      </c>
      <c r="O495" s="190" t="str">
        <f>"["&amp;$C495&amp;"]["&amp;$D495&amp;"]["&amp;$F495&amp;"]"</f>
        <v>[S05_InstallationDifferentSamplingFrequency][2][MajorSourceStreams]</v>
      </c>
    </row>
    <row r="496" spans="1:15" x14ac:dyDescent="0.3">
      <c r="A496" t="s">
        <v>2277</v>
      </c>
      <c r="B496" t="s">
        <v>1859</v>
      </c>
      <c r="C496" t="s">
        <v>1860</v>
      </c>
      <c r="D496">
        <v>1</v>
      </c>
      <c r="E496" t="s">
        <v>1447</v>
      </c>
      <c r="F496" t="s">
        <v>1864</v>
      </c>
      <c r="G496" t="s">
        <v>1759</v>
      </c>
      <c r="H496" t="s">
        <v>2279</v>
      </c>
      <c r="I496" t="s">
        <v>2279</v>
      </c>
      <c r="J496" t="s">
        <v>2279</v>
      </c>
      <c r="K496" t="s">
        <v>2279</v>
      </c>
      <c r="L496" t="s">
        <v>1419</v>
      </c>
      <c r="M496" t="s">
        <v>2279</v>
      </c>
      <c r="N496" t="s">
        <v>2279</v>
      </c>
      <c r="O496" s="190" t="str">
        <f>"["&amp;$C496&amp;"]["&amp;$D496&amp;"]["&amp;$F496&amp;"]"</f>
        <v>[S05_InstallationDifferentSamplingFrequency][1][SamplingPlanDocumented]</v>
      </c>
    </row>
    <row r="497" spans="1:15" x14ac:dyDescent="0.3">
      <c r="A497" t="s">
        <v>2277</v>
      </c>
      <c r="B497" t="s">
        <v>1859</v>
      </c>
      <c r="C497" t="s">
        <v>1860</v>
      </c>
      <c r="D497">
        <v>2</v>
      </c>
      <c r="E497" t="s">
        <v>1447</v>
      </c>
      <c r="F497" t="s">
        <v>1864</v>
      </c>
      <c r="G497" t="s">
        <v>1759</v>
      </c>
      <c r="H497" t="s">
        <v>2279</v>
      </c>
      <c r="I497" t="s">
        <v>2279</v>
      </c>
      <c r="J497" t="s">
        <v>2279</v>
      </c>
      <c r="K497" t="s">
        <v>2279</v>
      </c>
      <c r="L497" t="s">
        <v>1419</v>
      </c>
      <c r="M497" t="s">
        <v>2279</v>
      </c>
      <c r="N497" t="s">
        <v>2279</v>
      </c>
      <c r="O497" s="190" t="str">
        <f>"["&amp;$C497&amp;"]["&amp;$D497&amp;"]["&amp;$F497&amp;"]"</f>
        <v>[S05_InstallationDifferentSamplingFrequency][2][SamplingPlanDocumented]</v>
      </c>
    </row>
    <row r="498" spans="1:15" x14ac:dyDescent="0.3">
      <c r="A498" t="s">
        <v>2277</v>
      </c>
      <c r="B498" t="s">
        <v>1874</v>
      </c>
      <c r="C498" t="s">
        <v>1875</v>
      </c>
      <c r="D498">
        <v>1</v>
      </c>
      <c r="E498" t="s">
        <v>1447</v>
      </c>
      <c r="F498" t="s">
        <v>1876</v>
      </c>
      <c r="G498" t="s">
        <v>1737</v>
      </c>
      <c r="H498" t="s">
        <v>2279</v>
      </c>
      <c r="I498" t="s">
        <v>2279</v>
      </c>
      <c r="J498" t="s">
        <v>2279</v>
      </c>
      <c r="K498" t="s">
        <v>2279</v>
      </c>
      <c r="L498" t="s">
        <v>1458</v>
      </c>
      <c r="M498" t="s">
        <v>2279</v>
      </c>
      <c r="N498" t="s">
        <v>2279</v>
      </c>
      <c r="O498" s="190" t="str">
        <f>"["&amp;$C498&amp;"]["&amp;$D498&amp;"]["&amp;$F498&amp;"]"</f>
        <v>[S05_CategoryBHighestTierNotApplied][1][MonitoringMethodology]</v>
      </c>
    </row>
    <row r="499" spans="1:15" x14ac:dyDescent="0.3">
      <c r="A499" t="s">
        <v>2277</v>
      </c>
      <c r="B499" t="s">
        <v>1874</v>
      </c>
      <c r="C499" t="s">
        <v>1875</v>
      </c>
      <c r="D499">
        <v>2</v>
      </c>
      <c r="E499" t="s">
        <v>1447</v>
      </c>
      <c r="F499" t="s">
        <v>1876</v>
      </c>
      <c r="G499" t="s">
        <v>1737</v>
      </c>
      <c r="H499" t="s">
        <v>2279</v>
      </c>
      <c r="I499" t="s">
        <v>2279</v>
      </c>
      <c r="J499" t="s">
        <v>2279</v>
      </c>
      <c r="K499" t="s">
        <v>2279</v>
      </c>
      <c r="L499" t="s">
        <v>1430</v>
      </c>
      <c r="M499" t="s">
        <v>2279</v>
      </c>
      <c r="N499" t="s">
        <v>2279</v>
      </c>
      <c r="O499" s="190" t="str">
        <f>"["&amp;$C499&amp;"]["&amp;$D499&amp;"]["&amp;$F499&amp;"]"</f>
        <v>[S05_CategoryBHighestTierNotApplied][2][MonitoringMethodology]</v>
      </c>
    </row>
    <row r="500" spans="1:15" x14ac:dyDescent="0.3">
      <c r="A500" t="s">
        <v>2277</v>
      </c>
      <c r="B500" t="s">
        <v>1874</v>
      </c>
      <c r="C500" t="s">
        <v>1875</v>
      </c>
      <c r="D500">
        <v>3</v>
      </c>
      <c r="E500" t="s">
        <v>1447</v>
      </c>
      <c r="F500" t="s">
        <v>1876</v>
      </c>
      <c r="G500" t="s">
        <v>1737</v>
      </c>
      <c r="H500" t="s">
        <v>2279</v>
      </c>
      <c r="I500" t="s">
        <v>2279</v>
      </c>
      <c r="J500" t="s">
        <v>2279</v>
      </c>
      <c r="K500" t="s">
        <v>2279</v>
      </c>
      <c r="L500" t="s">
        <v>1430</v>
      </c>
      <c r="M500" t="s">
        <v>2279</v>
      </c>
      <c r="N500" t="s">
        <v>2279</v>
      </c>
      <c r="O500" s="190" t="str">
        <f>"["&amp;$C500&amp;"]["&amp;$D500&amp;"]["&amp;$F500&amp;"]"</f>
        <v>[S05_CategoryBHighestTierNotApplied][3][MonitoringMethodology]</v>
      </c>
    </row>
    <row r="501" spans="1:15" x14ac:dyDescent="0.3">
      <c r="A501" t="s">
        <v>2277</v>
      </c>
      <c r="B501" t="s">
        <v>1874</v>
      </c>
      <c r="C501" t="s">
        <v>1875</v>
      </c>
      <c r="D501">
        <v>4</v>
      </c>
      <c r="E501" t="s">
        <v>1447</v>
      </c>
      <c r="F501" t="s">
        <v>1876</v>
      </c>
      <c r="G501" t="s">
        <v>1737</v>
      </c>
      <c r="H501" t="s">
        <v>2279</v>
      </c>
      <c r="I501" t="s">
        <v>2279</v>
      </c>
      <c r="J501" t="s">
        <v>2279</v>
      </c>
      <c r="K501" t="s">
        <v>2279</v>
      </c>
      <c r="L501" t="s">
        <v>1430</v>
      </c>
      <c r="M501" t="s">
        <v>2279</v>
      </c>
      <c r="N501" t="s">
        <v>2279</v>
      </c>
      <c r="O501" s="190" t="str">
        <f>"["&amp;$C501&amp;"]["&amp;$D501&amp;"]["&amp;$F501&amp;"]"</f>
        <v>[S05_CategoryBHighestTierNotApplied][4][MonitoringMethodology]</v>
      </c>
    </row>
    <row r="502" spans="1:15" x14ac:dyDescent="0.3">
      <c r="A502" t="s">
        <v>2277</v>
      </c>
      <c r="B502" t="s">
        <v>1874</v>
      </c>
      <c r="C502" t="s">
        <v>1875</v>
      </c>
      <c r="D502">
        <v>5</v>
      </c>
      <c r="E502" t="s">
        <v>1447</v>
      </c>
      <c r="F502" t="s">
        <v>1876</v>
      </c>
      <c r="G502" t="s">
        <v>1737</v>
      </c>
      <c r="H502" t="s">
        <v>2279</v>
      </c>
      <c r="I502" t="s">
        <v>2279</v>
      </c>
      <c r="J502" t="s">
        <v>2279</v>
      </c>
      <c r="K502" t="s">
        <v>2279</v>
      </c>
      <c r="L502" t="s">
        <v>1430</v>
      </c>
      <c r="M502" t="s">
        <v>2279</v>
      </c>
      <c r="N502" t="s">
        <v>2279</v>
      </c>
      <c r="O502" s="190" t="str">
        <f>"["&amp;$C502&amp;"]["&amp;$D502&amp;"]["&amp;$F502&amp;"]"</f>
        <v>[S05_CategoryBHighestTierNotApplied][5][MonitoringMethodology]</v>
      </c>
    </row>
    <row r="503" spans="1:15" x14ac:dyDescent="0.3">
      <c r="A503" t="s">
        <v>2277</v>
      </c>
      <c r="B503" t="s">
        <v>1874</v>
      </c>
      <c r="C503" t="s">
        <v>1875</v>
      </c>
      <c r="D503">
        <v>1</v>
      </c>
      <c r="E503" t="s">
        <v>1447</v>
      </c>
      <c r="F503" t="s">
        <v>1877</v>
      </c>
      <c r="G503" t="s">
        <v>1737</v>
      </c>
      <c r="H503" t="s">
        <v>2279</v>
      </c>
      <c r="I503" t="s">
        <v>2279</v>
      </c>
      <c r="J503" t="s">
        <v>2279</v>
      </c>
      <c r="K503" t="s">
        <v>2279</v>
      </c>
      <c r="L503" t="s">
        <v>1420</v>
      </c>
      <c r="M503" t="s">
        <v>2279</v>
      </c>
      <c r="N503" t="s">
        <v>2279</v>
      </c>
      <c r="O503" s="190" t="str">
        <f>"["&amp;$C503&amp;"]["&amp;$D503&amp;"]["&amp;$F503&amp;"]"</f>
        <v>[S05_CategoryBHighestTierNotApplied][1][CategoryBMainActivity]</v>
      </c>
    </row>
    <row r="504" spans="1:15" x14ac:dyDescent="0.3">
      <c r="A504" t="s">
        <v>2277</v>
      </c>
      <c r="B504" t="s">
        <v>1874</v>
      </c>
      <c r="C504" t="s">
        <v>1875</v>
      </c>
      <c r="D504">
        <v>2</v>
      </c>
      <c r="E504" t="s">
        <v>1447</v>
      </c>
      <c r="F504" t="s">
        <v>1877</v>
      </c>
      <c r="G504" t="s">
        <v>1737</v>
      </c>
      <c r="H504" t="s">
        <v>2279</v>
      </c>
      <c r="I504" t="s">
        <v>2279</v>
      </c>
      <c r="J504" t="s">
        <v>2279</v>
      </c>
      <c r="K504" t="s">
        <v>2279</v>
      </c>
      <c r="L504" t="s">
        <v>1420</v>
      </c>
      <c r="M504" t="s">
        <v>2279</v>
      </c>
      <c r="N504" t="s">
        <v>2279</v>
      </c>
      <c r="O504" s="190" t="str">
        <f>"["&amp;$C504&amp;"]["&amp;$D504&amp;"]["&amp;$F504&amp;"]"</f>
        <v>[S05_CategoryBHighestTierNotApplied][2][CategoryBMainActivity]</v>
      </c>
    </row>
    <row r="505" spans="1:15" x14ac:dyDescent="0.3">
      <c r="A505" t="s">
        <v>2277</v>
      </c>
      <c r="B505" t="s">
        <v>1874</v>
      </c>
      <c r="C505" t="s">
        <v>1875</v>
      </c>
      <c r="D505">
        <v>3</v>
      </c>
      <c r="E505" t="s">
        <v>1447</v>
      </c>
      <c r="F505" t="s">
        <v>1877</v>
      </c>
      <c r="G505" t="s">
        <v>1737</v>
      </c>
      <c r="H505" t="s">
        <v>2279</v>
      </c>
      <c r="I505" t="s">
        <v>2279</v>
      </c>
      <c r="J505" t="s">
        <v>2279</v>
      </c>
      <c r="K505" t="s">
        <v>2279</v>
      </c>
      <c r="L505" t="s">
        <v>1577</v>
      </c>
      <c r="M505" t="s">
        <v>2279</v>
      </c>
      <c r="N505" t="s">
        <v>2279</v>
      </c>
      <c r="O505" s="190" t="str">
        <f>"["&amp;$C505&amp;"]["&amp;$D505&amp;"]["&amp;$F505&amp;"]"</f>
        <v>[S05_CategoryBHighestTierNotApplied][3][CategoryBMainActivity]</v>
      </c>
    </row>
    <row r="506" spans="1:15" x14ac:dyDescent="0.3">
      <c r="A506" t="s">
        <v>2277</v>
      </c>
      <c r="B506" t="s">
        <v>1874</v>
      </c>
      <c r="C506" t="s">
        <v>1875</v>
      </c>
      <c r="D506">
        <v>4</v>
      </c>
      <c r="E506" t="s">
        <v>1447</v>
      </c>
      <c r="F506" t="s">
        <v>1877</v>
      </c>
      <c r="G506" t="s">
        <v>1737</v>
      </c>
      <c r="H506" t="s">
        <v>2279</v>
      </c>
      <c r="I506" t="s">
        <v>2279</v>
      </c>
      <c r="J506" t="s">
        <v>2279</v>
      </c>
      <c r="K506" t="s">
        <v>2279</v>
      </c>
      <c r="L506" t="s">
        <v>1582</v>
      </c>
      <c r="M506" t="s">
        <v>2279</v>
      </c>
      <c r="N506" t="s">
        <v>2279</v>
      </c>
      <c r="O506" s="190" t="str">
        <f>"["&amp;$C506&amp;"]["&amp;$D506&amp;"]["&amp;$F506&amp;"]"</f>
        <v>[S05_CategoryBHighestTierNotApplied][4][CategoryBMainActivity]</v>
      </c>
    </row>
    <row r="507" spans="1:15" x14ac:dyDescent="0.3">
      <c r="A507" t="s">
        <v>2277</v>
      </c>
      <c r="B507" t="s">
        <v>1874</v>
      </c>
      <c r="C507" t="s">
        <v>1875</v>
      </c>
      <c r="D507">
        <v>5</v>
      </c>
      <c r="E507" t="s">
        <v>1447</v>
      </c>
      <c r="F507" t="s">
        <v>1877</v>
      </c>
      <c r="G507" t="s">
        <v>1737</v>
      </c>
      <c r="H507" t="s">
        <v>2279</v>
      </c>
      <c r="I507" t="s">
        <v>2279</v>
      </c>
      <c r="J507" t="s">
        <v>2279</v>
      </c>
      <c r="K507" t="s">
        <v>2279</v>
      </c>
      <c r="L507" t="s">
        <v>1448</v>
      </c>
      <c r="M507" t="s">
        <v>2279</v>
      </c>
      <c r="N507" t="s">
        <v>2279</v>
      </c>
      <c r="O507" s="190" t="str">
        <f>"["&amp;$C507&amp;"]["&amp;$D507&amp;"]["&amp;$F507&amp;"]"</f>
        <v>[S05_CategoryBHighestTierNotApplied][5][CategoryBMainActivity]</v>
      </c>
    </row>
    <row r="508" spans="1:15" x14ac:dyDescent="0.3">
      <c r="A508" t="s">
        <v>2277</v>
      </c>
      <c r="B508" t="s">
        <v>1874</v>
      </c>
      <c r="C508" t="s">
        <v>1875</v>
      </c>
      <c r="D508">
        <v>1</v>
      </c>
      <c r="E508" t="s">
        <v>1447</v>
      </c>
      <c r="F508" t="s">
        <v>1878</v>
      </c>
      <c r="G508" t="s">
        <v>1748</v>
      </c>
      <c r="H508" t="s">
        <v>2279</v>
      </c>
      <c r="I508">
        <v>12</v>
      </c>
      <c r="J508" t="s">
        <v>2279</v>
      </c>
      <c r="K508" t="s">
        <v>2279</v>
      </c>
      <c r="L508" t="s">
        <v>2279</v>
      </c>
      <c r="M508" t="s">
        <v>2279</v>
      </c>
      <c r="N508" t="s">
        <v>2279</v>
      </c>
      <c r="O508" s="190" t="str">
        <f>"["&amp;$C508&amp;"]["&amp;$D508&amp;"]["&amp;$F508&amp;"]"</f>
        <v>[S05_CategoryBHighestTierNotApplied][1][CategoryBInstallationsAffected]</v>
      </c>
    </row>
    <row r="509" spans="1:15" x14ac:dyDescent="0.3">
      <c r="A509" t="s">
        <v>2277</v>
      </c>
      <c r="B509" t="s">
        <v>1874</v>
      </c>
      <c r="C509" t="s">
        <v>1875</v>
      </c>
      <c r="D509">
        <v>2</v>
      </c>
      <c r="E509" t="s">
        <v>1447</v>
      </c>
      <c r="F509" t="s">
        <v>1878</v>
      </c>
      <c r="G509" t="s">
        <v>1748</v>
      </c>
      <c r="H509" t="s">
        <v>2279</v>
      </c>
      <c r="I509">
        <v>11</v>
      </c>
      <c r="J509" t="s">
        <v>2279</v>
      </c>
      <c r="K509" t="s">
        <v>2279</v>
      </c>
      <c r="L509" t="s">
        <v>2279</v>
      </c>
      <c r="M509" t="s">
        <v>2279</v>
      </c>
      <c r="N509" t="s">
        <v>2279</v>
      </c>
      <c r="O509" s="190" t="str">
        <f>"["&amp;$C509&amp;"]["&amp;$D509&amp;"]["&amp;$F509&amp;"]"</f>
        <v>[S05_CategoryBHighestTierNotApplied][2][CategoryBInstallationsAffected]</v>
      </c>
    </row>
    <row r="510" spans="1:15" x14ac:dyDescent="0.3">
      <c r="A510" t="s">
        <v>2277</v>
      </c>
      <c r="B510" t="s">
        <v>1874</v>
      </c>
      <c r="C510" t="s">
        <v>1875</v>
      </c>
      <c r="D510">
        <v>3</v>
      </c>
      <c r="E510" t="s">
        <v>1447</v>
      </c>
      <c r="F510" t="s">
        <v>1878</v>
      </c>
      <c r="G510" t="s">
        <v>1748</v>
      </c>
      <c r="H510" t="s">
        <v>2279</v>
      </c>
      <c r="I510">
        <v>1</v>
      </c>
      <c r="J510" t="s">
        <v>2279</v>
      </c>
      <c r="K510" t="s">
        <v>2279</v>
      </c>
      <c r="L510" t="s">
        <v>2279</v>
      </c>
      <c r="M510" t="s">
        <v>2279</v>
      </c>
      <c r="N510" t="s">
        <v>2279</v>
      </c>
      <c r="O510" s="190" t="str">
        <f>"["&amp;$C510&amp;"]["&amp;$D510&amp;"]["&amp;$F510&amp;"]"</f>
        <v>[S05_CategoryBHighestTierNotApplied][3][CategoryBInstallationsAffected]</v>
      </c>
    </row>
    <row r="511" spans="1:15" x14ac:dyDescent="0.3">
      <c r="A511" t="s">
        <v>2277</v>
      </c>
      <c r="B511" t="s">
        <v>1874</v>
      </c>
      <c r="C511" t="s">
        <v>1875</v>
      </c>
      <c r="D511">
        <v>4</v>
      </c>
      <c r="E511" t="s">
        <v>1447</v>
      </c>
      <c r="F511" t="s">
        <v>1878</v>
      </c>
      <c r="G511" t="s">
        <v>1748</v>
      </c>
      <c r="H511" t="s">
        <v>2279</v>
      </c>
      <c r="I511">
        <v>2</v>
      </c>
      <c r="J511" t="s">
        <v>2279</v>
      </c>
      <c r="K511" t="s">
        <v>2279</v>
      </c>
      <c r="L511" t="s">
        <v>2279</v>
      </c>
      <c r="M511" t="s">
        <v>2279</v>
      </c>
      <c r="N511" t="s">
        <v>2279</v>
      </c>
      <c r="O511" s="190" t="str">
        <f>"["&amp;$C511&amp;"]["&amp;$D511&amp;"]["&amp;$F511&amp;"]"</f>
        <v>[S05_CategoryBHighestTierNotApplied][4][CategoryBInstallationsAffected]</v>
      </c>
    </row>
    <row r="512" spans="1:15" x14ac:dyDescent="0.3">
      <c r="A512" t="s">
        <v>2277</v>
      </c>
      <c r="B512" t="s">
        <v>1874</v>
      </c>
      <c r="C512" t="s">
        <v>1875</v>
      </c>
      <c r="D512">
        <v>5</v>
      </c>
      <c r="E512" t="s">
        <v>1447</v>
      </c>
      <c r="F512" t="s">
        <v>1878</v>
      </c>
      <c r="G512" t="s">
        <v>1748</v>
      </c>
      <c r="H512" t="s">
        <v>2279</v>
      </c>
      <c r="I512">
        <v>1</v>
      </c>
      <c r="J512" t="s">
        <v>2279</v>
      </c>
      <c r="K512" t="s">
        <v>2279</v>
      </c>
      <c r="L512" t="s">
        <v>2279</v>
      </c>
      <c r="M512" t="s">
        <v>2279</v>
      </c>
      <c r="N512" t="s">
        <v>2279</v>
      </c>
      <c r="O512" s="190" t="str">
        <f>"["&amp;$C512&amp;"]["&amp;$D512&amp;"]["&amp;$F512&amp;"]"</f>
        <v>[S05_CategoryBHighestTierNotApplied][5][CategoryBInstallationsAffected]</v>
      </c>
    </row>
    <row r="513" spans="1:15" x14ac:dyDescent="0.3">
      <c r="A513" t="s">
        <v>2277</v>
      </c>
      <c r="B513" t="s">
        <v>1879</v>
      </c>
      <c r="C513" t="s">
        <v>1880</v>
      </c>
      <c r="D513">
        <v>0</v>
      </c>
      <c r="E513" t="s">
        <v>1447</v>
      </c>
      <c r="F513" t="s">
        <v>1880</v>
      </c>
      <c r="G513" t="s">
        <v>1759</v>
      </c>
      <c r="H513" t="s">
        <v>2279</v>
      </c>
      <c r="I513" t="s">
        <v>2279</v>
      </c>
      <c r="J513" t="s">
        <v>2279</v>
      </c>
      <c r="K513" t="s">
        <v>2279</v>
      </c>
      <c r="L513" t="s">
        <v>1447</v>
      </c>
      <c r="M513" t="s">
        <v>2279</v>
      </c>
      <c r="N513" t="s">
        <v>2279</v>
      </c>
      <c r="O513" s="190" t="str">
        <f>"["&amp;$C513&amp;"]["&amp;$D513&amp;"]["&amp;$F513&amp;"]"</f>
        <v>[FallBackApproachApplied][0][FallBackApproachApplied]</v>
      </c>
    </row>
    <row r="514" spans="1:15" x14ac:dyDescent="0.3">
      <c r="A514" t="s">
        <v>2277</v>
      </c>
      <c r="B514" t="s">
        <v>1886</v>
      </c>
      <c r="C514" t="s">
        <v>1887</v>
      </c>
      <c r="D514">
        <v>1</v>
      </c>
      <c r="E514" t="s">
        <v>1447</v>
      </c>
      <c r="F514" t="s">
        <v>1856</v>
      </c>
      <c r="G514" t="s">
        <v>1737</v>
      </c>
      <c r="H514" t="s">
        <v>2279</v>
      </c>
      <c r="I514" t="s">
        <v>2279</v>
      </c>
      <c r="J514" t="s">
        <v>2279</v>
      </c>
      <c r="K514" t="s">
        <v>2279</v>
      </c>
      <c r="L514" t="s">
        <v>1432</v>
      </c>
      <c r="M514" t="s">
        <v>2279</v>
      </c>
      <c r="N514" t="s">
        <v>2279</v>
      </c>
      <c r="O514" s="190" t="str">
        <f>"["&amp;$C514&amp;"]["&amp;$D514&amp;"]["&amp;$F514&amp;"]"</f>
        <v>[S05_ImprovementReportArt69][1][InstallationCategory]</v>
      </c>
    </row>
    <row r="515" spans="1:15" x14ac:dyDescent="0.3">
      <c r="A515" t="s">
        <v>2277</v>
      </c>
      <c r="B515" t="s">
        <v>1886</v>
      </c>
      <c r="C515" t="s">
        <v>1887</v>
      </c>
      <c r="D515">
        <v>2</v>
      </c>
      <c r="E515" t="s">
        <v>1447</v>
      </c>
      <c r="F515" t="s">
        <v>1856</v>
      </c>
      <c r="G515" t="s">
        <v>1737</v>
      </c>
      <c r="H515" t="s">
        <v>2279</v>
      </c>
      <c r="I515" t="s">
        <v>2279</v>
      </c>
      <c r="J515" t="s">
        <v>2279</v>
      </c>
      <c r="K515" t="s">
        <v>2279</v>
      </c>
      <c r="L515" t="s">
        <v>1432</v>
      </c>
      <c r="M515" t="s">
        <v>2279</v>
      </c>
      <c r="N515" t="s">
        <v>2279</v>
      </c>
      <c r="O515" s="190" t="str">
        <f>"["&amp;$C515&amp;"]["&amp;$D515&amp;"]["&amp;$F515&amp;"]"</f>
        <v>[S05_ImprovementReportArt69][2][InstallationCategory]</v>
      </c>
    </row>
    <row r="516" spans="1:15" x14ac:dyDescent="0.3">
      <c r="A516" t="s">
        <v>2277</v>
      </c>
      <c r="B516" t="s">
        <v>1886</v>
      </c>
      <c r="C516" t="s">
        <v>1887</v>
      </c>
      <c r="D516">
        <v>3</v>
      </c>
      <c r="E516" t="s">
        <v>1447</v>
      </c>
      <c r="F516" t="s">
        <v>1856</v>
      </c>
      <c r="G516" t="s">
        <v>1737</v>
      </c>
      <c r="H516" t="s">
        <v>2279</v>
      </c>
      <c r="I516" t="s">
        <v>2279</v>
      </c>
      <c r="J516" t="s">
        <v>2279</v>
      </c>
      <c r="K516" t="s">
        <v>2279</v>
      </c>
      <c r="L516" t="s">
        <v>1460</v>
      </c>
      <c r="M516" t="s">
        <v>2279</v>
      </c>
      <c r="N516" t="s">
        <v>2279</v>
      </c>
      <c r="O516" s="190" t="str">
        <f>"["&amp;$C516&amp;"]["&amp;$D516&amp;"]["&amp;$F516&amp;"]"</f>
        <v>[S05_ImprovementReportArt69][3][InstallationCategory]</v>
      </c>
    </row>
    <row r="517" spans="1:15" x14ac:dyDescent="0.3">
      <c r="A517" t="s">
        <v>2277</v>
      </c>
      <c r="B517" t="s">
        <v>1886</v>
      </c>
      <c r="C517" t="s">
        <v>1887</v>
      </c>
      <c r="D517">
        <v>4</v>
      </c>
      <c r="E517" t="s">
        <v>1447</v>
      </c>
      <c r="F517" t="s">
        <v>1856</v>
      </c>
      <c r="G517" t="s">
        <v>1737</v>
      </c>
      <c r="H517" t="s">
        <v>2279</v>
      </c>
      <c r="I517" t="s">
        <v>2279</v>
      </c>
      <c r="J517" t="s">
        <v>2279</v>
      </c>
      <c r="K517" t="s">
        <v>2279</v>
      </c>
      <c r="L517" t="s">
        <v>1460</v>
      </c>
      <c r="M517" t="s">
        <v>2279</v>
      </c>
      <c r="N517" t="s">
        <v>2279</v>
      </c>
      <c r="O517" s="190" t="str">
        <f>"["&amp;$C517&amp;"]["&amp;$D517&amp;"]["&amp;$F517&amp;"]"</f>
        <v>[S05_ImprovementReportArt69][4][InstallationCategory]</v>
      </c>
    </row>
    <row r="518" spans="1:15" x14ac:dyDescent="0.3">
      <c r="A518" t="s">
        <v>2277</v>
      </c>
      <c r="B518" t="s">
        <v>1886</v>
      </c>
      <c r="C518" t="s">
        <v>1887</v>
      </c>
      <c r="D518">
        <v>5</v>
      </c>
      <c r="E518" t="s">
        <v>1447</v>
      </c>
      <c r="F518" t="s">
        <v>1856</v>
      </c>
      <c r="G518" t="s">
        <v>1737</v>
      </c>
      <c r="H518" t="s">
        <v>2279</v>
      </c>
      <c r="I518" t="s">
        <v>2279</v>
      </c>
      <c r="J518" t="s">
        <v>2279</v>
      </c>
      <c r="K518" t="s">
        <v>2279</v>
      </c>
      <c r="L518" t="s">
        <v>1487</v>
      </c>
      <c r="M518" t="s">
        <v>2279</v>
      </c>
      <c r="N518" t="s">
        <v>2279</v>
      </c>
      <c r="O518" s="190" t="str">
        <f>"["&amp;$C518&amp;"]["&amp;$D518&amp;"]["&amp;$F518&amp;"]"</f>
        <v>[S05_ImprovementReportArt69][5][InstallationCategory]</v>
      </c>
    </row>
    <row r="519" spans="1:15" x14ac:dyDescent="0.3">
      <c r="A519" t="s">
        <v>2277</v>
      </c>
      <c r="B519" t="s">
        <v>1886</v>
      </c>
      <c r="C519" t="s">
        <v>1887</v>
      </c>
      <c r="D519">
        <v>6</v>
      </c>
      <c r="E519" t="s">
        <v>1447</v>
      </c>
      <c r="F519" t="s">
        <v>1856</v>
      </c>
      <c r="G519" t="s">
        <v>1737</v>
      </c>
      <c r="H519" t="s">
        <v>2279</v>
      </c>
      <c r="I519" t="s">
        <v>2279</v>
      </c>
      <c r="J519" t="s">
        <v>2279</v>
      </c>
      <c r="K519" t="s">
        <v>2279</v>
      </c>
      <c r="L519" t="s">
        <v>1487</v>
      </c>
      <c r="M519" t="s">
        <v>2279</v>
      </c>
      <c r="N519" t="s">
        <v>2279</v>
      </c>
      <c r="O519" s="190" t="str">
        <f>"["&amp;$C519&amp;"]["&amp;$D519&amp;"]["&amp;$F519&amp;"]"</f>
        <v>[S05_ImprovementReportArt69][6][InstallationCategory]</v>
      </c>
    </row>
    <row r="520" spans="1:15" x14ac:dyDescent="0.3">
      <c r="A520" t="s">
        <v>2277</v>
      </c>
      <c r="B520" t="s">
        <v>1886</v>
      </c>
      <c r="C520" t="s">
        <v>1887</v>
      </c>
      <c r="D520">
        <v>7</v>
      </c>
      <c r="E520" t="s">
        <v>1447</v>
      </c>
      <c r="F520" t="s">
        <v>1856</v>
      </c>
      <c r="G520" t="s">
        <v>1737</v>
      </c>
      <c r="H520" t="s">
        <v>2279</v>
      </c>
      <c r="I520" t="s">
        <v>2279</v>
      </c>
      <c r="J520" t="s">
        <v>2279</v>
      </c>
      <c r="K520" t="s">
        <v>2279</v>
      </c>
      <c r="L520" t="s">
        <v>1460</v>
      </c>
      <c r="M520" t="s">
        <v>2279</v>
      </c>
      <c r="N520" t="s">
        <v>2279</v>
      </c>
      <c r="O520" s="190" t="str">
        <f>"["&amp;$C520&amp;"]["&amp;$D520&amp;"]["&amp;$F520&amp;"]"</f>
        <v>[S05_ImprovementReportArt69][7][InstallationCategory]</v>
      </c>
    </row>
    <row r="521" spans="1:15" x14ac:dyDescent="0.3">
      <c r="A521" t="s">
        <v>2277</v>
      </c>
      <c r="B521" t="s">
        <v>1886</v>
      </c>
      <c r="C521" t="s">
        <v>1887</v>
      </c>
      <c r="D521">
        <v>8</v>
      </c>
      <c r="E521" t="s">
        <v>1447</v>
      </c>
      <c r="F521" t="s">
        <v>1856</v>
      </c>
      <c r="G521" t="s">
        <v>1737</v>
      </c>
      <c r="H521" t="s">
        <v>2279</v>
      </c>
      <c r="I521" t="s">
        <v>2279</v>
      </c>
      <c r="J521" t="s">
        <v>2279</v>
      </c>
      <c r="K521" t="s">
        <v>2279</v>
      </c>
      <c r="L521" t="s">
        <v>1460</v>
      </c>
      <c r="M521" t="s">
        <v>2279</v>
      </c>
      <c r="N521" t="s">
        <v>2279</v>
      </c>
      <c r="O521" s="190" t="str">
        <f>"["&amp;$C521&amp;"]["&amp;$D521&amp;"]["&amp;$F521&amp;"]"</f>
        <v>[S05_ImprovementReportArt69][8][InstallationCategory]</v>
      </c>
    </row>
    <row r="522" spans="1:15" x14ac:dyDescent="0.3">
      <c r="A522" t="s">
        <v>2277</v>
      </c>
      <c r="B522" t="s">
        <v>1886</v>
      </c>
      <c r="C522" t="s">
        <v>1887</v>
      </c>
      <c r="D522">
        <v>9</v>
      </c>
      <c r="E522" t="s">
        <v>1447</v>
      </c>
      <c r="F522" t="s">
        <v>1856</v>
      </c>
      <c r="G522" t="s">
        <v>1737</v>
      </c>
      <c r="H522" t="s">
        <v>2279</v>
      </c>
      <c r="I522" t="s">
        <v>2279</v>
      </c>
      <c r="J522" t="s">
        <v>2279</v>
      </c>
      <c r="K522" t="s">
        <v>2279</v>
      </c>
      <c r="L522" t="s">
        <v>1487</v>
      </c>
      <c r="M522" t="s">
        <v>2279</v>
      </c>
      <c r="N522" t="s">
        <v>2279</v>
      </c>
      <c r="O522" s="190" t="str">
        <f>"["&amp;$C522&amp;"]["&amp;$D522&amp;"]["&amp;$F522&amp;"]"</f>
        <v>[S05_ImprovementReportArt69][9][InstallationCategory]</v>
      </c>
    </row>
    <row r="523" spans="1:15" x14ac:dyDescent="0.3">
      <c r="A523" t="s">
        <v>2277</v>
      </c>
      <c r="B523" t="s">
        <v>1886</v>
      </c>
      <c r="C523" t="s">
        <v>1887</v>
      </c>
      <c r="D523">
        <v>10</v>
      </c>
      <c r="E523" t="s">
        <v>1447</v>
      </c>
      <c r="F523" t="s">
        <v>1856</v>
      </c>
      <c r="G523" t="s">
        <v>1737</v>
      </c>
      <c r="H523" t="s">
        <v>2279</v>
      </c>
      <c r="I523" t="s">
        <v>2279</v>
      </c>
      <c r="J523" t="s">
        <v>2279</v>
      </c>
      <c r="K523" t="s">
        <v>2279</v>
      </c>
      <c r="L523" t="s">
        <v>1487</v>
      </c>
      <c r="M523" t="s">
        <v>2279</v>
      </c>
      <c r="N523" t="s">
        <v>2279</v>
      </c>
      <c r="O523" s="190" t="str">
        <f>"["&amp;$C523&amp;"]["&amp;$D523&amp;"]["&amp;$F523&amp;"]"</f>
        <v>[S05_ImprovementReportArt69][10][InstallationCategory]</v>
      </c>
    </row>
    <row r="524" spans="1:15" x14ac:dyDescent="0.3">
      <c r="A524" t="s">
        <v>2277</v>
      </c>
      <c r="B524" t="s">
        <v>1886</v>
      </c>
      <c r="C524" t="s">
        <v>1887</v>
      </c>
      <c r="D524">
        <v>11</v>
      </c>
      <c r="E524" t="s">
        <v>1447</v>
      </c>
      <c r="F524" t="s">
        <v>1856</v>
      </c>
      <c r="G524" t="s">
        <v>1737</v>
      </c>
      <c r="H524" t="s">
        <v>2279</v>
      </c>
      <c r="I524" t="s">
        <v>2279</v>
      </c>
      <c r="J524" t="s">
        <v>2279</v>
      </c>
      <c r="K524" t="s">
        <v>2279</v>
      </c>
      <c r="L524" t="s">
        <v>1487</v>
      </c>
      <c r="M524" t="s">
        <v>2279</v>
      </c>
      <c r="N524" t="s">
        <v>2279</v>
      </c>
      <c r="O524" s="190" t="str">
        <f>"["&amp;$C524&amp;"]["&amp;$D524&amp;"]["&amp;$F524&amp;"]"</f>
        <v>[S05_ImprovementReportArt69][11][InstallationCategory]</v>
      </c>
    </row>
    <row r="525" spans="1:15" x14ac:dyDescent="0.3">
      <c r="A525" t="s">
        <v>2277</v>
      </c>
      <c r="B525" t="s">
        <v>1886</v>
      </c>
      <c r="C525" t="s">
        <v>1887</v>
      </c>
      <c r="D525">
        <v>1</v>
      </c>
      <c r="E525" t="s">
        <v>1447</v>
      </c>
      <c r="F525" t="s">
        <v>1888</v>
      </c>
      <c r="G525" t="s">
        <v>1737</v>
      </c>
      <c r="H525" t="s">
        <v>2279</v>
      </c>
      <c r="I525" t="s">
        <v>2279</v>
      </c>
      <c r="J525" t="s">
        <v>2279</v>
      </c>
      <c r="K525" t="s">
        <v>2279</v>
      </c>
      <c r="L525" t="s">
        <v>1420</v>
      </c>
      <c r="M525" t="s">
        <v>2279</v>
      </c>
      <c r="N525" t="s">
        <v>2279</v>
      </c>
      <c r="O525" s="190" t="str">
        <f>"["&amp;$C525&amp;"]["&amp;$D525&amp;"]["&amp;$F525&amp;"]"</f>
        <v>[S05_ImprovementReportArt69][1][Annex1Activity]</v>
      </c>
    </row>
    <row r="526" spans="1:15" x14ac:dyDescent="0.3">
      <c r="A526" t="s">
        <v>2277</v>
      </c>
      <c r="B526" t="s">
        <v>1886</v>
      </c>
      <c r="C526" t="s">
        <v>1887</v>
      </c>
      <c r="D526">
        <v>2</v>
      </c>
      <c r="E526" t="s">
        <v>1447</v>
      </c>
      <c r="F526" t="s">
        <v>1888</v>
      </c>
      <c r="G526" t="s">
        <v>1737</v>
      </c>
      <c r="H526" t="s">
        <v>2279</v>
      </c>
      <c r="I526" t="s">
        <v>2279</v>
      </c>
      <c r="J526" t="s">
        <v>2279</v>
      </c>
      <c r="K526" t="s">
        <v>2279</v>
      </c>
      <c r="L526" t="s">
        <v>1592</v>
      </c>
      <c r="M526" t="s">
        <v>2279</v>
      </c>
      <c r="N526" t="s">
        <v>2279</v>
      </c>
      <c r="O526" s="190" t="str">
        <f>"["&amp;$C526&amp;"]["&amp;$D526&amp;"]["&amp;$F526&amp;"]"</f>
        <v>[S05_ImprovementReportArt69][2][Annex1Activity]</v>
      </c>
    </row>
    <row r="527" spans="1:15" x14ac:dyDescent="0.3">
      <c r="A527" t="s">
        <v>2277</v>
      </c>
      <c r="B527" t="s">
        <v>1886</v>
      </c>
      <c r="C527" t="s">
        <v>1887</v>
      </c>
      <c r="D527">
        <v>3</v>
      </c>
      <c r="E527" t="s">
        <v>1447</v>
      </c>
      <c r="F527" t="s">
        <v>1888</v>
      </c>
      <c r="G527" t="s">
        <v>1737</v>
      </c>
      <c r="H527" t="s">
        <v>2279</v>
      </c>
      <c r="I527" t="s">
        <v>2279</v>
      </c>
      <c r="J527" t="s">
        <v>2279</v>
      </c>
      <c r="K527" t="s">
        <v>2279</v>
      </c>
      <c r="L527" t="s">
        <v>1420</v>
      </c>
      <c r="M527" t="s">
        <v>2279</v>
      </c>
      <c r="N527" t="s">
        <v>2279</v>
      </c>
      <c r="O527" s="190" t="str">
        <f>"["&amp;$C527&amp;"]["&amp;$D527&amp;"]["&amp;$F527&amp;"]"</f>
        <v>[S05_ImprovementReportArt69][3][Annex1Activity]</v>
      </c>
    </row>
    <row r="528" spans="1:15" x14ac:dyDescent="0.3">
      <c r="A528" t="s">
        <v>2277</v>
      </c>
      <c r="B528" t="s">
        <v>1886</v>
      </c>
      <c r="C528" t="s">
        <v>1887</v>
      </c>
      <c r="D528">
        <v>4</v>
      </c>
      <c r="E528" t="s">
        <v>1447</v>
      </c>
      <c r="F528" t="s">
        <v>1888</v>
      </c>
      <c r="G528" t="s">
        <v>1737</v>
      </c>
      <c r="H528" t="s">
        <v>2279</v>
      </c>
      <c r="I528" t="s">
        <v>2279</v>
      </c>
      <c r="J528" t="s">
        <v>2279</v>
      </c>
      <c r="K528" t="s">
        <v>2279</v>
      </c>
      <c r="L528" t="s">
        <v>1448</v>
      </c>
      <c r="M528" t="s">
        <v>2279</v>
      </c>
      <c r="N528" t="s">
        <v>2279</v>
      </c>
      <c r="O528" s="190" t="str">
        <f>"["&amp;$C528&amp;"]["&amp;$D528&amp;"]["&amp;$F528&amp;"]"</f>
        <v>[S05_ImprovementReportArt69][4][Annex1Activity]</v>
      </c>
    </row>
    <row r="529" spans="1:15" x14ac:dyDescent="0.3">
      <c r="A529" t="s">
        <v>2277</v>
      </c>
      <c r="B529" t="s">
        <v>1886</v>
      </c>
      <c r="C529" t="s">
        <v>1887</v>
      </c>
      <c r="D529">
        <v>5</v>
      </c>
      <c r="E529" t="s">
        <v>1447</v>
      </c>
      <c r="F529" t="s">
        <v>1888</v>
      </c>
      <c r="G529" t="s">
        <v>1737</v>
      </c>
      <c r="H529" t="s">
        <v>2279</v>
      </c>
      <c r="I529" t="s">
        <v>2279</v>
      </c>
      <c r="J529" t="s">
        <v>2279</v>
      </c>
      <c r="K529" t="s">
        <v>2279</v>
      </c>
      <c r="L529" t="s">
        <v>1420</v>
      </c>
      <c r="M529" t="s">
        <v>2279</v>
      </c>
      <c r="N529" t="s">
        <v>2279</v>
      </c>
      <c r="O529" s="190" t="str">
        <f>"["&amp;$C529&amp;"]["&amp;$D529&amp;"]["&amp;$F529&amp;"]"</f>
        <v>[S05_ImprovementReportArt69][5][Annex1Activity]</v>
      </c>
    </row>
    <row r="530" spans="1:15" x14ac:dyDescent="0.3">
      <c r="A530" t="s">
        <v>2277</v>
      </c>
      <c r="B530" t="s">
        <v>1886</v>
      </c>
      <c r="C530" t="s">
        <v>1887</v>
      </c>
      <c r="D530">
        <v>6</v>
      </c>
      <c r="E530" t="s">
        <v>1447</v>
      </c>
      <c r="F530" t="s">
        <v>1888</v>
      </c>
      <c r="G530" t="s">
        <v>1737</v>
      </c>
      <c r="H530" t="s">
        <v>2279</v>
      </c>
      <c r="I530" t="s">
        <v>2279</v>
      </c>
      <c r="J530" t="s">
        <v>2279</v>
      </c>
      <c r="K530" t="s">
        <v>2279</v>
      </c>
      <c r="L530" t="s">
        <v>1448</v>
      </c>
      <c r="M530" t="s">
        <v>2279</v>
      </c>
      <c r="N530" t="s">
        <v>2279</v>
      </c>
      <c r="O530" s="190" t="str">
        <f>"["&amp;$C530&amp;"]["&amp;$D530&amp;"]["&amp;$F530&amp;"]"</f>
        <v>[S05_ImprovementReportArt69][6][Annex1Activity]</v>
      </c>
    </row>
    <row r="531" spans="1:15" x14ac:dyDescent="0.3">
      <c r="A531" t="s">
        <v>2277</v>
      </c>
      <c r="B531" t="s">
        <v>1886</v>
      </c>
      <c r="C531" t="s">
        <v>1887</v>
      </c>
      <c r="D531">
        <v>7</v>
      </c>
      <c r="E531" t="s">
        <v>1447</v>
      </c>
      <c r="F531" t="s">
        <v>1888</v>
      </c>
      <c r="G531" t="s">
        <v>1737</v>
      </c>
      <c r="H531" t="s">
        <v>2279</v>
      </c>
      <c r="I531" t="s">
        <v>2279</v>
      </c>
      <c r="J531" t="s">
        <v>2279</v>
      </c>
      <c r="K531" t="s">
        <v>2279</v>
      </c>
      <c r="L531" t="s">
        <v>1420</v>
      </c>
      <c r="M531" t="s">
        <v>2279</v>
      </c>
      <c r="N531" t="s">
        <v>2279</v>
      </c>
      <c r="O531" s="190" t="str">
        <f>"["&amp;$C531&amp;"]["&amp;$D531&amp;"]["&amp;$F531&amp;"]"</f>
        <v>[S05_ImprovementReportArt69][7][Annex1Activity]</v>
      </c>
    </row>
    <row r="532" spans="1:15" x14ac:dyDescent="0.3">
      <c r="A532" t="s">
        <v>2277</v>
      </c>
      <c r="B532" t="s">
        <v>1886</v>
      </c>
      <c r="C532" t="s">
        <v>1887</v>
      </c>
      <c r="D532">
        <v>8</v>
      </c>
      <c r="E532" t="s">
        <v>1447</v>
      </c>
      <c r="F532" t="s">
        <v>1888</v>
      </c>
      <c r="G532" t="s">
        <v>1737</v>
      </c>
      <c r="H532" t="s">
        <v>2279</v>
      </c>
      <c r="I532" t="s">
        <v>2279</v>
      </c>
      <c r="J532" t="s">
        <v>2279</v>
      </c>
      <c r="K532" t="s">
        <v>2279</v>
      </c>
      <c r="L532" t="s">
        <v>1530</v>
      </c>
      <c r="M532" t="s">
        <v>2279</v>
      </c>
      <c r="N532" t="s">
        <v>2279</v>
      </c>
      <c r="O532" s="190" t="str">
        <f>"["&amp;$C532&amp;"]["&amp;$D532&amp;"]["&amp;$F532&amp;"]"</f>
        <v>[S05_ImprovementReportArt69][8][Annex1Activity]</v>
      </c>
    </row>
    <row r="533" spans="1:15" x14ac:dyDescent="0.3">
      <c r="A533" t="s">
        <v>2277</v>
      </c>
      <c r="B533" t="s">
        <v>1886</v>
      </c>
      <c r="C533" t="s">
        <v>1887</v>
      </c>
      <c r="D533">
        <v>9</v>
      </c>
      <c r="E533" t="s">
        <v>1447</v>
      </c>
      <c r="F533" t="s">
        <v>1888</v>
      </c>
      <c r="G533" t="s">
        <v>1737</v>
      </c>
      <c r="H533" t="s">
        <v>2279</v>
      </c>
      <c r="I533" t="s">
        <v>2279</v>
      </c>
      <c r="J533" t="s">
        <v>2279</v>
      </c>
      <c r="K533" t="s">
        <v>2279</v>
      </c>
      <c r="L533" t="s">
        <v>1420</v>
      </c>
      <c r="M533" t="s">
        <v>2279</v>
      </c>
      <c r="N533" t="s">
        <v>2279</v>
      </c>
      <c r="O533" s="190" t="str">
        <f>"["&amp;$C533&amp;"]["&amp;$D533&amp;"]["&amp;$F533&amp;"]"</f>
        <v>[S05_ImprovementReportArt69][9][Annex1Activity]</v>
      </c>
    </row>
    <row r="534" spans="1:15" x14ac:dyDescent="0.3">
      <c r="A534" t="s">
        <v>2277</v>
      </c>
      <c r="B534" t="s">
        <v>1886</v>
      </c>
      <c r="C534" t="s">
        <v>1887</v>
      </c>
      <c r="D534">
        <v>10</v>
      </c>
      <c r="E534" t="s">
        <v>1447</v>
      </c>
      <c r="F534" t="s">
        <v>1888</v>
      </c>
      <c r="G534" t="s">
        <v>1737</v>
      </c>
      <c r="H534" t="s">
        <v>2279</v>
      </c>
      <c r="I534" t="s">
        <v>2279</v>
      </c>
      <c r="J534" t="s">
        <v>2279</v>
      </c>
      <c r="K534" t="s">
        <v>2279</v>
      </c>
      <c r="L534" t="s">
        <v>1448</v>
      </c>
      <c r="M534" t="s">
        <v>2279</v>
      </c>
      <c r="N534" t="s">
        <v>2279</v>
      </c>
      <c r="O534" s="190" t="str">
        <f>"["&amp;$C534&amp;"]["&amp;$D534&amp;"]["&amp;$F534&amp;"]"</f>
        <v>[S05_ImprovementReportArt69][10][Annex1Activity]</v>
      </c>
    </row>
    <row r="535" spans="1:15" x14ac:dyDescent="0.3">
      <c r="A535" t="s">
        <v>2277</v>
      </c>
      <c r="B535" t="s">
        <v>1886</v>
      </c>
      <c r="C535" t="s">
        <v>1887</v>
      </c>
      <c r="D535">
        <v>11</v>
      </c>
      <c r="E535" t="s">
        <v>1447</v>
      </c>
      <c r="F535" t="s">
        <v>1888</v>
      </c>
      <c r="G535" t="s">
        <v>1737</v>
      </c>
      <c r="H535" t="s">
        <v>2279</v>
      </c>
      <c r="I535" t="s">
        <v>2279</v>
      </c>
      <c r="J535" t="s">
        <v>2279</v>
      </c>
      <c r="K535" t="s">
        <v>2279</v>
      </c>
      <c r="L535" t="s">
        <v>1562</v>
      </c>
      <c r="M535" t="s">
        <v>2279</v>
      </c>
      <c r="N535" t="s">
        <v>2279</v>
      </c>
      <c r="O535" s="190" t="str">
        <f>"["&amp;$C535&amp;"]["&amp;$D535&amp;"]["&amp;$F535&amp;"]"</f>
        <v>[S05_ImprovementReportArt69][11][Annex1Activity]</v>
      </c>
    </row>
    <row r="536" spans="1:15" x14ac:dyDescent="0.3">
      <c r="A536" t="s">
        <v>2277</v>
      </c>
      <c r="B536" t="s">
        <v>1886</v>
      </c>
      <c r="C536" t="s">
        <v>1887</v>
      </c>
      <c r="D536">
        <v>1</v>
      </c>
      <c r="E536" t="s">
        <v>1447</v>
      </c>
      <c r="F536" t="s">
        <v>1889</v>
      </c>
      <c r="G536" t="s">
        <v>1737</v>
      </c>
      <c r="H536" t="s">
        <v>2279</v>
      </c>
      <c r="I536" t="s">
        <v>2279</v>
      </c>
      <c r="J536" t="s">
        <v>2279</v>
      </c>
      <c r="K536" t="s">
        <v>2279</v>
      </c>
      <c r="L536" t="s">
        <v>1488</v>
      </c>
      <c r="M536" t="s">
        <v>2279</v>
      </c>
      <c r="N536" t="s">
        <v>2279</v>
      </c>
      <c r="O536" s="190" t="str">
        <f>"["&amp;$C536&amp;"]["&amp;$D536&amp;"]["&amp;$F536&amp;"]"</f>
        <v>[S05_ImprovementReportArt69][1][ImprovementReportType]</v>
      </c>
    </row>
    <row r="537" spans="1:15" x14ac:dyDescent="0.3">
      <c r="A537" t="s">
        <v>2277</v>
      </c>
      <c r="B537" t="s">
        <v>1886</v>
      </c>
      <c r="C537" t="s">
        <v>1887</v>
      </c>
      <c r="D537">
        <v>2</v>
      </c>
      <c r="E537" t="s">
        <v>1447</v>
      </c>
      <c r="F537" t="s">
        <v>1889</v>
      </c>
      <c r="G537" t="s">
        <v>1737</v>
      </c>
      <c r="H537" t="s">
        <v>2279</v>
      </c>
      <c r="I537" t="s">
        <v>2279</v>
      </c>
      <c r="J537" t="s">
        <v>2279</v>
      </c>
      <c r="K537" t="s">
        <v>2279</v>
      </c>
      <c r="L537" t="s">
        <v>1488</v>
      </c>
      <c r="M537" t="s">
        <v>2279</v>
      </c>
      <c r="N537" t="s">
        <v>2279</v>
      </c>
      <c r="O537" s="190" t="str">
        <f>"["&amp;$C537&amp;"]["&amp;$D537&amp;"]["&amp;$F537&amp;"]"</f>
        <v>[S05_ImprovementReportArt69][2][ImprovementReportType]</v>
      </c>
    </row>
    <row r="538" spans="1:15" x14ac:dyDescent="0.3">
      <c r="A538" t="s">
        <v>2277</v>
      </c>
      <c r="B538" t="s">
        <v>1886</v>
      </c>
      <c r="C538" t="s">
        <v>1887</v>
      </c>
      <c r="D538">
        <v>3</v>
      </c>
      <c r="E538" t="s">
        <v>1447</v>
      </c>
      <c r="F538" t="s">
        <v>1889</v>
      </c>
      <c r="G538" t="s">
        <v>1737</v>
      </c>
      <c r="H538" t="s">
        <v>2279</v>
      </c>
      <c r="I538" t="s">
        <v>2279</v>
      </c>
      <c r="J538" t="s">
        <v>2279</v>
      </c>
      <c r="K538" t="s">
        <v>2279</v>
      </c>
      <c r="L538" t="s">
        <v>1488</v>
      </c>
      <c r="M538" t="s">
        <v>2279</v>
      </c>
      <c r="N538" t="s">
        <v>2279</v>
      </c>
      <c r="O538" s="190" t="str">
        <f>"["&amp;$C538&amp;"]["&amp;$D538&amp;"]["&amp;$F538&amp;"]"</f>
        <v>[S05_ImprovementReportArt69][3][ImprovementReportType]</v>
      </c>
    </row>
    <row r="539" spans="1:15" x14ac:dyDescent="0.3">
      <c r="A539" t="s">
        <v>2277</v>
      </c>
      <c r="B539" t="s">
        <v>1886</v>
      </c>
      <c r="C539" t="s">
        <v>1887</v>
      </c>
      <c r="D539">
        <v>4</v>
      </c>
      <c r="E539" t="s">
        <v>1447</v>
      </c>
      <c r="F539" t="s">
        <v>1889</v>
      </c>
      <c r="G539" t="s">
        <v>1737</v>
      </c>
      <c r="H539" t="s">
        <v>2279</v>
      </c>
      <c r="I539" t="s">
        <v>2279</v>
      </c>
      <c r="J539" t="s">
        <v>2279</v>
      </c>
      <c r="K539" t="s">
        <v>2279</v>
      </c>
      <c r="L539" t="s">
        <v>1488</v>
      </c>
      <c r="M539" t="s">
        <v>2279</v>
      </c>
      <c r="N539" t="s">
        <v>2279</v>
      </c>
      <c r="O539" s="190" t="str">
        <f>"["&amp;$C539&amp;"]["&amp;$D539&amp;"]["&amp;$F539&amp;"]"</f>
        <v>[S05_ImprovementReportArt69][4][ImprovementReportType]</v>
      </c>
    </row>
    <row r="540" spans="1:15" x14ac:dyDescent="0.3">
      <c r="A540" t="s">
        <v>2277</v>
      </c>
      <c r="B540" t="s">
        <v>1886</v>
      </c>
      <c r="C540" t="s">
        <v>1887</v>
      </c>
      <c r="D540">
        <v>5</v>
      </c>
      <c r="E540" t="s">
        <v>1447</v>
      </c>
      <c r="F540" t="s">
        <v>1889</v>
      </c>
      <c r="G540" t="s">
        <v>1737</v>
      </c>
      <c r="H540" t="s">
        <v>2279</v>
      </c>
      <c r="I540" t="s">
        <v>2279</v>
      </c>
      <c r="J540" t="s">
        <v>2279</v>
      </c>
      <c r="K540" t="s">
        <v>2279</v>
      </c>
      <c r="L540" t="s">
        <v>1488</v>
      </c>
      <c r="M540" t="s">
        <v>2279</v>
      </c>
      <c r="N540" t="s">
        <v>2279</v>
      </c>
      <c r="O540" s="190" t="str">
        <f>"["&amp;$C540&amp;"]["&amp;$D540&amp;"]["&amp;$F540&amp;"]"</f>
        <v>[S05_ImprovementReportArt69][5][ImprovementReportType]</v>
      </c>
    </row>
    <row r="541" spans="1:15" x14ac:dyDescent="0.3">
      <c r="A541" t="s">
        <v>2277</v>
      </c>
      <c r="B541" t="s">
        <v>1886</v>
      </c>
      <c r="C541" t="s">
        <v>1887</v>
      </c>
      <c r="D541">
        <v>6</v>
      </c>
      <c r="E541" t="s">
        <v>1447</v>
      </c>
      <c r="F541" t="s">
        <v>1889</v>
      </c>
      <c r="G541" t="s">
        <v>1737</v>
      </c>
      <c r="H541" t="s">
        <v>2279</v>
      </c>
      <c r="I541" t="s">
        <v>2279</v>
      </c>
      <c r="J541" t="s">
        <v>2279</v>
      </c>
      <c r="K541" t="s">
        <v>2279</v>
      </c>
      <c r="L541" t="s">
        <v>1488</v>
      </c>
      <c r="M541" t="s">
        <v>2279</v>
      </c>
      <c r="N541" t="s">
        <v>2279</v>
      </c>
      <c r="O541" s="190" t="str">
        <f>"["&amp;$C541&amp;"]["&amp;$D541&amp;"]["&amp;$F541&amp;"]"</f>
        <v>[S05_ImprovementReportArt69][6][ImprovementReportType]</v>
      </c>
    </row>
    <row r="542" spans="1:15" x14ac:dyDescent="0.3">
      <c r="A542" t="s">
        <v>2277</v>
      </c>
      <c r="B542" t="s">
        <v>1886</v>
      </c>
      <c r="C542" t="s">
        <v>1887</v>
      </c>
      <c r="D542">
        <v>7</v>
      </c>
      <c r="E542" t="s">
        <v>1447</v>
      </c>
      <c r="F542" t="s">
        <v>1889</v>
      </c>
      <c r="G542" t="s">
        <v>1737</v>
      </c>
      <c r="H542" t="s">
        <v>2279</v>
      </c>
      <c r="I542" t="s">
        <v>2279</v>
      </c>
      <c r="J542" t="s">
        <v>2279</v>
      </c>
      <c r="K542" t="s">
        <v>2279</v>
      </c>
      <c r="L542" t="s">
        <v>1433</v>
      </c>
      <c r="M542" t="s">
        <v>2279</v>
      </c>
      <c r="N542" t="s">
        <v>2279</v>
      </c>
      <c r="O542" s="190" t="str">
        <f>"["&amp;$C542&amp;"]["&amp;$D542&amp;"]["&amp;$F542&amp;"]"</f>
        <v>[S05_ImprovementReportArt69][7][ImprovementReportType]</v>
      </c>
    </row>
    <row r="543" spans="1:15" x14ac:dyDescent="0.3">
      <c r="A543" t="s">
        <v>2277</v>
      </c>
      <c r="B543" t="s">
        <v>1886</v>
      </c>
      <c r="C543" t="s">
        <v>1887</v>
      </c>
      <c r="D543">
        <v>8</v>
      </c>
      <c r="E543" t="s">
        <v>1447</v>
      </c>
      <c r="F543" t="s">
        <v>1889</v>
      </c>
      <c r="G543" t="s">
        <v>1737</v>
      </c>
      <c r="H543" t="s">
        <v>2279</v>
      </c>
      <c r="I543" t="s">
        <v>2279</v>
      </c>
      <c r="J543" t="s">
        <v>2279</v>
      </c>
      <c r="K543" t="s">
        <v>2279</v>
      </c>
      <c r="L543" t="s">
        <v>1433</v>
      </c>
      <c r="M543" t="s">
        <v>2279</v>
      </c>
      <c r="N543" t="s">
        <v>2279</v>
      </c>
      <c r="O543" s="190" t="str">
        <f>"["&amp;$C543&amp;"]["&amp;$D543&amp;"]["&amp;$F543&amp;"]"</f>
        <v>[S05_ImprovementReportArt69][8][ImprovementReportType]</v>
      </c>
    </row>
    <row r="544" spans="1:15" x14ac:dyDescent="0.3">
      <c r="A544" t="s">
        <v>2277</v>
      </c>
      <c r="B544" t="s">
        <v>1886</v>
      </c>
      <c r="C544" t="s">
        <v>1887</v>
      </c>
      <c r="D544">
        <v>9</v>
      </c>
      <c r="E544" t="s">
        <v>1447</v>
      </c>
      <c r="F544" t="s">
        <v>1889</v>
      </c>
      <c r="G544" t="s">
        <v>1737</v>
      </c>
      <c r="H544" t="s">
        <v>2279</v>
      </c>
      <c r="I544" t="s">
        <v>2279</v>
      </c>
      <c r="J544" t="s">
        <v>2279</v>
      </c>
      <c r="K544" t="s">
        <v>2279</v>
      </c>
      <c r="L544" t="s">
        <v>1433</v>
      </c>
      <c r="M544" t="s">
        <v>2279</v>
      </c>
      <c r="N544" t="s">
        <v>2279</v>
      </c>
      <c r="O544" s="190" t="str">
        <f>"["&amp;$C544&amp;"]["&amp;$D544&amp;"]["&amp;$F544&amp;"]"</f>
        <v>[S05_ImprovementReportArt69][9][ImprovementReportType]</v>
      </c>
    </row>
    <row r="545" spans="1:15" x14ac:dyDescent="0.3">
      <c r="A545" t="s">
        <v>2277</v>
      </c>
      <c r="B545" t="s">
        <v>1886</v>
      </c>
      <c r="C545" t="s">
        <v>1887</v>
      </c>
      <c r="D545">
        <v>10</v>
      </c>
      <c r="E545" t="s">
        <v>1447</v>
      </c>
      <c r="F545" t="s">
        <v>1889</v>
      </c>
      <c r="G545" t="s">
        <v>1737</v>
      </c>
      <c r="H545" t="s">
        <v>2279</v>
      </c>
      <c r="I545" t="s">
        <v>2279</v>
      </c>
      <c r="J545" t="s">
        <v>2279</v>
      </c>
      <c r="K545" t="s">
        <v>2279</v>
      </c>
      <c r="L545" t="s">
        <v>1433</v>
      </c>
      <c r="M545" t="s">
        <v>2279</v>
      </c>
      <c r="N545" t="s">
        <v>2279</v>
      </c>
      <c r="O545" s="190" t="str">
        <f>"["&amp;$C545&amp;"]["&amp;$D545&amp;"]["&amp;$F545&amp;"]"</f>
        <v>[S05_ImprovementReportArt69][10][ImprovementReportType]</v>
      </c>
    </row>
    <row r="546" spans="1:15" x14ac:dyDescent="0.3">
      <c r="A546" t="s">
        <v>2277</v>
      </c>
      <c r="B546" t="s">
        <v>1886</v>
      </c>
      <c r="C546" t="s">
        <v>1887</v>
      </c>
      <c r="D546">
        <v>11</v>
      </c>
      <c r="E546" t="s">
        <v>1447</v>
      </c>
      <c r="F546" t="s">
        <v>1889</v>
      </c>
      <c r="G546" t="s">
        <v>1737</v>
      </c>
      <c r="H546" t="s">
        <v>2279</v>
      </c>
      <c r="I546" t="s">
        <v>2279</v>
      </c>
      <c r="J546" t="s">
        <v>2279</v>
      </c>
      <c r="K546" t="s">
        <v>2279</v>
      </c>
      <c r="L546" t="s">
        <v>1433</v>
      </c>
      <c r="M546" t="s">
        <v>2279</v>
      </c>
      <c r="N546" t="s">
        <v>2279</v>
      </c>
      <c r="O546" s="190" t="str">
        <f>"["&amp;$C546&amp;"]["&amp;$D546&amp;"]["&amp;$F546&amp;"]"</f>
        <v>[S05_ImprovementReportArt69][11][ImprovementReportType]</v>
      </c>
    </row>
    <row r="547" spans="1:15" x14ac:dyDescent="0.3">
      <c r="A547" t="s">
        <v>2277</v>
      </c>
      <c r="B547" t="s">
        <v>1886</v>
      </c>
      <c r="C547" t="s">
        <v>1887</v>
      </c>
      <c r="D547">
        <v>1</v>
      </c>
      <c r="E547" t="s">
        <v>1447</v>
      </c>
      <c r="F547" t="s">
        <v>1890</v>
      </c>
      <c r="G547" t="s">
        <v>1748</v>
      </c>
      <c r="H547" t="s">
        <v>2279</v>
      </c>
      <c r="I547">
        <v>4</v>
      </c>
      <c r="J547" t="s">
        <v>2279</v>
      </c>
      <c r="K547" t="s">
        <v>2279</v>
      </c>
      <c r="L547" t="s">
        <v>2279</v>
      </c>
      <c r="M547" t="s">
        <v>2279</v>
      </c>
      <c r="N547" t="s">
        <v>2279</v>
      </c>
      <c r="O547" s="190" t="str">
        <f>"["&amp;$C547&amp;"]["&amp;$D547&amp;"]["&amp;$F547&amp;"]"</f>
        <v>[S05_ImprovementReportArt69][1][ImprovementReportRequired]</v>
      </c>
    </row>
    <row r="548" spans="1:15" x14ac:dyDescent="0.3">
      <c r="A548" t="s">
        <v>2277</v>
      </c>
      <c r="B548" t="s">
        <v>1886</v>
      </c>
      <c r="C548" t="s">
        <v>1887</v>
      </c>
      <c r="D548">
        <v>2</v>
      </c>
      <c r="E548" t="s">
        <v>1447</v>
      </c>
      <c r="F548" t="s">
        <v>1890</v>
      </c>
      <c r="G548" t="s">
        <v>1748</v>
      </c>
      <c r="H548" t="s">
        <v>2279</v>
      </c>
      <c r="I548">
        <v>1</v>
      </c>
      <c r="J548" t="s">
        <v>2279</v>
      </c>
      <c r="K548" t="s">
        <v>2279</v>
      </c>
      <c r="L548" t="s">
        <v>2279</v>
      </c>
      <c r="M548" t="s">
        <v>2279</v>
      </c>
      <c r="N548" t="s">
        <v>2279</v>
      </c>
      <c r="O548" s="190" t="str">
        <f>"["&amp;$C548&amp;"]["&amp;$D548&amp;"]["&amp;$F548&amp;"]"</f>
        <v>[S05_ImprovementReportArt69][2][ImprovementReportRequired]</v>
      </c>
    </row>
    <row r="549" spans="1:15" x14ac:dyDescent="0.3">
      <c r="A549" t="s">
        <v>2277</v>
      </c>
      <c r="B549" t="s">
        <v>1886</v>
      </c>
      <c r="C549" t="s">
        <v>1887</v>
      </c>
      <c r="D549">
        <v>3</v>
      </c>
      <c r="E549" t="s">
        <v>1447</v>
      </c>
      <c r="F549" t="s">
        <v>1890</v>
      </c>
      <c r="G549" t="s">
        <v>1748</v>
      </c>
      <c r="H549" t="s">
        <v>2279</v>
      </c>
      <c r="I549">
        <v>11</v>
      </c>
      <c r="J549" t="s">
        <v>2279</v>
      </c>
      <c r="K549" t="s">
        <v>2279</v>
      </c>
      <c r="L549" t="s">
        <v>2279</v>
      </c>
      <c r="M549" t="s">
        <v>2279</v>
      </c>
      <c r="N549" t="s">
        <v>2279</v>
      </c>
      <c r="O549" s="190" t="str">
        <f>"["&amp;$C549&amp;"]["&amp;$D549&amp;"]["&amp;$F549&amp;"]"</f>
        <v>[S05_ImprovementReportArt69][3][ImprovementReportRequired]</v>
      </c>
    </row>
    <row r="550" spans="1:15" x14ac:dyDescent="0.3">
      <c r="A550" t="s">
        <v>2277</v>
      </c>
      <c r="B550" t="s">
        <v>1886</v>
      </c>
      <c r="C550" t="s">
        <v>1887</v>
      </c>
      <c r="D550">
        <v>4</v>
      </c>
      <c r="E550" t="s">
        <v>1447</v>
      </c>
      <c r="F550" t="s">
        <v>1890</v>
      </c>
      <c r="G550" t="s">
        <v>1748</v>
      </c>
      <c r="H550" t="s">
        <v>2279</v>
      </c>
      <c r="I550">
        <v>1</v>
      </c>
      <c r="J550" t="s">
        <v>2279</v>
      </c>
      <c r="K550" t="s">
        <v>2279</v>
      </c>
      <c r="L550" t="s">
        <v>2279</v>
      </c>
      <c r="M550" t="s">
        <v>2279</v>
      </c>
      <c r="N550" t="s">
        <v>2279</v>
      </c>
      <c r="O550" s="190" t="str">
        <f>"["&amp;$C550&amp;"]["&amp;$D550&amp;"]["&amp;$F550&amp;"]"</f>
        <v>[S05_ImprovementReportArt69][4][ImprovementReportRequired]</v>
      </c>
    </row>
    <row r="551" spans="1:15" x14ac:dyDescent="0.3">
      <c r="A551" t="s">
        <v>2277</v>
      </c>
      <c r="B551" t="s">
        <v>1886</v>
      </c>
      <c r="C551" t="s">
        <v>1887</v>
      </c>
      <c r="D551">
        <v>5</v>
      </c>
      <c r="E551" t="s">
        <v>1447</v>
      </c>
      <c r="F551" t="s">
        <v>1890</v>
      </c>
      <c r="G551" t="s">
        <v>1748</v>
      </c>
      <c r="H551" t="s">
        <v>2279</v>
      </c>
      <c r="I551">
        <v>3</v>
      </c>
      <c r="J551" t="s">
        <v>2279</v>
      </c>
      <c r="K551" t="s">
        <v>2279</v>
      </c>
      <c r="L551" t="s">
        <v>2279</v>
      </c>
      <c r="M551" t="s">
        <v>2279</v>
      </c>
      <c r="N551" t="s">
        <v>2279</v>
      </c>
      <c r="O551" s="190" t="str">
        <f>"["&amp;$C551&amp;"]["&amp;$D551&amp;"]["&amp;$F551&amp;"]"</f>
        <v>[S05_ImprovementReportArt69][5][ImprovementReportRequired]</v>
      </c>
    </row>
    <row r="552" spans="1:15" x14ac:dyDescent="0.3">
      <c r="A552" t="s">
        <v>2277</v>
      </c>
      <c r="B552" t="s">
        <v>1886</v>
      </c>
      <c r="C552" t="s">
        <v>1887</v>
      </c>
      <c r="D552">
        <v>6</v>
      </c>
      <c r="E552" t="s">
        <v>1447</v>
      </c>
      <c r="F552" t="s">
        <v>1890</v>
      </c>
      <c r="G552" t="s">
        <v>1748</v>
      </c>
      <c r="H552" t="s">
        <v>2279</v>
      </c>
      <c r="I552">
        <v>1</v>
      </c>
      <c r="J552" t="s">
        <v>2279</v>
      </c>
      <c r="K552" t="s">
        <v>2279</v>
      </c>
      <c r="L552" t="s">
        <v>2279</v>
      </c>
      <c r="M552" t="s">
        <v>2279</v>
      </c>
      <c r="N552" t="s">
        <v>2279</v>
      </c>
      <c r="O552" s="190" t="str">
        <f>"["&amp;$C552&amp;"]["&amp;$D552&amp;"]["&amp;$F552&amp;"]"</f>
        <v>[S05_ImprovementReportArt69][6][ImprovementReportRequired]</v>
      </c>
    </row>
    <row r="553" spans="1:15" x14ac:dyDescent="0.3">
      <c r="A553" t="s">
        <v>2277</v>
      </c>
      <c r="B553" t="s">
        <v>1886</v>
      </c>
      <c r="C553" t="s">
        <v>1887</v>
      </c>
      <c r="D553">
        <v>7</v>
      </c>
      <c r="E553" t="s">
        <v>1447</v>
      </c>
      <c r="F553" t="s">
        <v>1890</v>
      </c>
      <c r="G553" t="s">
        <v>1748</v>
      </c>
      <c r="H553" t="s">
        <v>2279</v>
      </c>
      <c r="I553">
        <v>8</v>
      </c>
      <c r="J553" t="s">
        <v>2279</v>
      </c>
      <c r="K553" t="s">
        <v>2279</v>
      </c>
      <c r="L553" t="s">
        <v>2279</v>
      </c>
      <c r="M553" t="s">
        <v>2279</v>
      </c>
      <c r="N553" t="s">
        <v>2279</v>
      </c>
      <c r="O553" s="190" t="str">
        <f>"["&amp;$C553&amp;"]["&amp;$D553&amp;"]["&amp;$F553&amp;"]"</f>
        <v>[S05_ImprovementReportArt69][7][ImprovementReportRequired]</v>
      </c>
    </row>
    <row r="554" spans="1:15" x14ac:dyDescent="0.3">
      <c r="A554" t="s">
        <v>2277</v>
      </c>
      <c r="B554" t="s">
        <v>1886</v>
      </c>
      <c r="C554" t="s">
        <v>1887</v>
      </c>
      <c r="D554">
        <v>8</v>
      </c>
      <c r="E554" t="s">
        <v>1447</v>
      </c>
      <c r="F554" t="s">
        <v>1890</v>
      </c>
      <c r="G554" t="s">
        <v>1748</v>
      </c>
      <c r="H554" t="s">
        <v>2279</v>
      </c>
      <c r="I554">
        <v>1</v>
      </c>
      <c r="J554" t="s">
        <v>2279</v>
      </c>
      <c r="K554" t="s">
        <v>2279</v>
      </c>
      <c r="L554" t="s">
        <v>2279</v>
      </c>
      <c r="M554" t="s">
        <v>2279</v>
      </c>
      <c r="N554" t="s">
        <v>2279</v>
      </c>
      <c r="O554" s="190" t="str">
        <f>"["&amp;$C554&amp;"]["&amp;$D554&amp;"]["&amp;$F554&amp;"]"</f>
        <v>[S05_ImprovementReportArt69][8][ImprovementReportRequired]</v>
      </c>
    </row>
    <row r="555" spans="1:15" x14ac:dyDescent="0.3">
      <c r="A555" t="s">
        <v>2277</v>
      </c>
      <c r="B555" t="s">
        <v>1886</v>
      </c>
      <c r="C555" t="s">
        <v>1887</v>
      </c>
      <c r="D555">
        <v>9</v>
      </c>
      <c r="E555" t="s">
        <v>1447</v>
      </c>
      <c r="F555" t="s">
        <v>1890</v>
      </c>
      <c r="G555" t="s">
        <v>1748</v>
      </c>
      <c r="H555" t="s">
        <v>2279</v>
      </c>
      <c r="I555">
        <v>2</v>
      </c>
      <c r="J555" t="s">
        <v>2279</v>
      </c>
      <c r="K555" t="s">
        <v>2279</v>
      </c>
      <c r="L555" t="s">
        <v>2279</v>
      </c>
      <c r="M555" t="s">
        <v>2279</v>
      </c>
      <c r="N555" t="s">
        <v>2279</v>
      </c>
      <c r="O555" s="190" t="str">
        <f>"["&amp;$C555&amp;"]["&amp;$D555&amp;"]["&amp;$F555&amp;"]"</f>
        <v>[S05_ImprovementReportArt69][9][ImprovementReportRequired]</v>
      </c>
    </row>
    <row r="556" spans="1:15" x14ac:dyDescent="0.3">
      <c r="A556" t="s">
        <v>2277</v>
      </c>
      <c r="B556" t="s">
        <v>1886</v>
      </c>
      <c r="C556" t="s">
        <v>1887</v>
      </c>
      <c r="D556">
        <v>10</v>
      </c>
      <c r="E556" t="s">
        <v>1447</v>
      </c>
      <c r="F556" t="s">
        <v>1890</v>
      </c>
      <c r="G556" t="s">
        <v>1748</v>
      </c>
      <c r="H556" t="s">
        <v>2279</v>
      </c>
      <c r="I556">
        <v>1</v>
      </c>
      <c r="J556" t="s">
        <v>2279</v>
      </c>
      <c r="K556" t="s">
        <v>2279</v>
      </c>
      <c r="L556" t="s">
        <v>2279</v>
      </c>
      <c r="M556" t="s">
        <v>2279</v>
      </c>
      <c r="N556" t="s">
        <v>2279</v>
      </c>
      <c r="O556" s="190" t="str">
        <f>"["&amp;$C556&amp;"]["&amp;$D556&amp;"]["&amp;$F556&amp;"]"</f>
        <v>[S05_ImprovementReportArt69][10][ImprovementReportRequired]</v>
      </c>
    </row>
    <row r="557" spans="1:15" x14ac:dyDescent="0.3">
      <c r="A557" t="s">
        <v>2277</v>
      </c>
      <c r="B557" t="s">
        <v>1886</v>
      </c>
      <c r="C557" t="s">
        <v>1887</v>
      </c>
      <c r="D557">
        <v>11</v>
      </c>
      <c r="E557" t="s">
        <v>1447</v>
      </c>
      <c r="F557" t="s">
        <v>1890</v>
      </c>
      <c r="G557" t="s">
        <v>1748</v>
      </c>
      <c r="H557" t="s">
        <v>2279</v>
      </c>
      <c r="I557">
        <v>1</v>
      </c>
      <c r="J557" t="s">
        <v>2279</v>
      </c>
      <c r="K557" t="s">
        <v>2279</v>
      </c>
      <c r="L557" t="s">
        <v>2279</v>
      </c>
      <c r="M557" t="s">
        <v>2279</v>
      </c>
      <c r="N557" t="s">
        <v>2279</v>
      </c>
      <c r="O557" s="190" t="str">
        <f>"["&amp;$C557&amp;"]["&amp;$D557&amp;"]["&amp;$F557&amp;"]"</f>
        <v>[S05_ImprovementReportArt69][11][ImprovementReportRequired]</v>
      </c>
    </row>
    <row r="558" spans="1:15" x14ac:dyDescent="0.3">
      <c r="A558" t="s">
        <v>2277</v>
      </c>
      <c r="B558" t="s">
        <v>1886</v>
      </c>
      <c r="C558" t="s">
        <v>1887</v>
      </c>
      <c r="D558">
        <v>1</v>
      </c>
      <c r="E558" t="s">
        <v>1447</v>
      </c>
      <c r="F558" t="s">
        <v>1891</v>
      </c>
      <c r="G558" t="s">
        <v>1748</v>
      </c>
      <c r="H558" t="s">
        <v>2279</v>
      </c>
      <c r="I558">
        <v>3</v>
      </c>
      <c r="J558" t="s">
        <v>2279</v>
      </c>
      <c r="K558" t="s">
        <v>2279</v>
      </c>
      <c r="L558" t="s">
        <v>2279</v>
      </c>
      <c r="M558" t="s">
        <v>2279</v>
      </c>
      <c r="N558" t="s">
        <v>2279</v>
      </c>
      <c r="O558" s="190" t="str">
        <f>"["&amp;$C558&amp;"]["&amp;$D558&amp;"]["&amp;$F558&amp;"]"</f>
        <v>[S05_ImprovementReportArt69][1][ImprovementReportSubmitted]</v>
      </c>
    </row>
    <row r="559" spans="1:15" x14ac:dyDescent="0.3">
      <c r="A559" t="s">
        <v>2277</v>
      </c>
      <c r="B559" t="s">
        <v>1886</v>
      </c>
      <c r="C559" t="s">
        <v>1887</v>
      </c>
      <c r="D559">
        <v>2</v>
      </c>
      <c r="E559" t="s">
        <v>1447</v>
      </c>
      <c r="F559" t="s">
        <v>1891</v>
      </c>
      <c r="G559" t="s">
        <v>1748</v>
      </c>
      <c r="H559" t="s">
        <v>2279</v>
      </c>
      <c r="I559">
        <v>1</v>
      </c>
      <c r="J559" t="s">
        <v>2279</v>
      </c>
      <c r="K559" t="s">
        <v>2279</v>
      </c>
      <c r="L559" t="s">
        <v>2279</v>
      </c>
      <c r="M559" t="s">
        <v>2279</v>
      </c>
      <c r="N559" t="s">
        <v>2279</v>
      </c>
      <c r="O559" s="190" t="str">
        <f>"["&amp;$C559&amp;"]["&amp;$D559&amp;"]["&amp;$F559&amp;"]"</f>
        <v>[S05_ImprovementReportArt69][2][ImprovementReportSubmitted]</v>
      </c>
    </row>
    <row r="560" spans="1:15" x14ac:dyDescent="0.3">
      <c r="A560" t="s">
        <v>2277</v>
      </c>
      <c r="B560" t="s">
        <v>1886</v>
      </c>
      <c r="C560" t="s">
        <v>1887</v>
      </c>
      <c r="D560">
        <v>3</v>
      </c>
      <c r="E560" t="s">
        <v>1447</v>
      </c>
      <c r="F560" t="s">
        <v>1891</v>
      </c>
      <c r="G560" t="s">
        <v>1748</v>
      </c>
      <c r="H560" t="s">
        <v>2279</v>
      </c>
      <c r="I560">
        <v>9</v>
      </c>
      <c r="J560" t="s">
        <v>2279</v>
      </c>
      <c r="K560" t="s">
        <v>2279</v>
      </c>
      <c r="L560" t="s">
        <v>2279</v>
      </c>
      <c r="M560" t="s">
        <v>2279</v>
      </c>
      <c r="N560" t="s">
        <v>2279</v>
      </c>
      <c r="O560" s="190" t="str">
        <f>"["&amp;$C560&amp;"]["&amp;$D560&amp;"]["&amp;$F560&amp;"]"</f>
        <v>[S05_ImprovementReportArt69][3][ImprovementReportSubmitted]</v>
      </c>
    </row>
    <row r="561" spans="1:15" x14ac:dyDescent="0.3">
      <c r="A561" t="s">
        <v>2277</v>
      </c>
      <c r="B561" t="s">
        <v>1886</v>
      </c>
      <c r="C561" t="s">
        <v>1887</v>
      </c>
      <c r="D561">
        <v>4</v>
      </c>
      <c r="E561" t="s">
        <v>1447</v>
      </c>
      <c r="F561" t="s">
        <v>1891</v>
      </c>
      <c r="G561" t="s">
        <v>1748</v>
      </c>
      <c r="H561" t="s">
        <v>2279</v>
      </c>
      <c r="I561">
        <v>0</v>
      </c>
      <c r="J561" t="s">
        <v>2279</v>
      </c>
      <c r="K561" t="s">
        <v>2279</v>
      </c>
      <c r="L561" t="s">
        <v>2279</v>
      </c>
      <c r="M561" t="s">
        <v>2279</v>
      </c>
      <c r="N561" t="s">
        <v>2279</v>
      </c>
      <c r="O561" s="190" t="str">
        <f>"["&amp;$C561&amp;"]["&amp;$D561&amp;"]["&amp;$F561&amp;"]"</f>
        <v>[S05_ImprovementReportArt69][4][ImprovementReportSubmitted]</v>
      </c>
    </row>
    <row r="562" spans="1:15" x14ac:dyDescent="0.3">
      <c r="A562" t="s">
        <v>2277</v>
      </c>
      <c r="B562" t="s">
        <v>1886</v>
      </c>
      <c r="C562" t="s">
        <v>1887</v>
      </c>
      <c r="D562">
        <v>5</v>
      </c>
      <c r="E562" t="s">
        <v>1447</v>
      </c>
      <c r="F562" t="s">
        <v>1891</v>
      </c>
      <c r="G562" t="s">
        <v>1748</v>
      </c>
      <c r="H562" t="s">
        <v>2279</v>
      </c>
      <c r="I562">
        <v>3</v>
      </c>
      <c r="J562" t="s">
        <v>2279</v>
      </c>
      <c r="K562" t="s">
        <v>2279</v>
      </c>
      <c r="L562" t="s">
        <v>2279</v>
      </c>
      <c r="M562" t="s">
        <v>2279</v>
      </c>
      <c r="N562" t="s">
        <v>2279</v>
      </c>
      <c r="O562" s="190" t="str">
        <f>"["&amp;$C562&amp;"]["&amp;$D562&amp;"]["&amp;$F562&amp;"]"</f>
        <v>[S05_ImprovementReportArt69][5][ImprovementReportSubmitted]</v>
      </c>
    </row>
    <row r="563" spans="1:15" x14ac:dyDescent="0.3">
      <c r="A563" t="s">
        <v>2277</v>
      </c>
      <c r="B563" t="s">
        <v>1886</v>
      </c>
      <c r="C563" t="s">
        <v>1887</v>
      </c>
      <c r="D563">
        <v>6</v>
      </c>
      <c r="E563" t="s">
        <v>1447</v>
      </c>
      <c r="F563" t="s">
        <v>1891</v>
      </c>
      <c r="G563" t="s">
        <v>1748</v>
      </c>
      <c r="H563" t="s">
        <v>2279</v>
      </c>
      <c r="I563">
        <v>1</v>
      </c>
      <c r="J563" t="s">
        <v>2279</v>
      </c>
      <c r="K563" t="s">
        <v>2279</v>
      </c>
      <c r="L563" t="s">
        <v>2279</v>
      </c>
      <c r="M563" t="s">
        <v>2279</v>
      </c>
      <c r="N563" t="s">
        <v>2279</v>
      </c>
      <c r="O563" s="190" t="str">
        <f>"["&amp;$C563&amp;"]["&amp;$D563&amp;"]["&amp;$F563&amp;"]"</f>
        <v>[S05_ImprovementReportArt69][6][ImprovementReportSubmitted]</v>
      </c>
    </row>
    <row r="564" spans="1:15" x14ac:dyDescent="0.3">
      <c r="A564" t="s">
        <v>2277</v>
      </c>
      <c r="B564" t="s">
        <v>1886</v>
      </c>
      <c r="C564" t="s">
        <v>1887</v>
      </c>
      <c r="D564">
        <v>7</v>
      </c>
      <c r="E564" t="s">
        <v>1447</v>
      </c>
      <c r="F564" t="s">
        <v>1891</v>
      </c>
      <c r="G564" t="s">
        <v>1748</v>
      </c>
      <c r="H564" t="s">
        <v>2279</v>
      </c>
      <c r="I564">
        <v>2</v>
      </c>
      <c r="J564" t="s">
        <v>2279</v>
      </c>
      <c r="K564" t="s">
        <v>2279</v>
      </c>
      <c r="L564" t="s">
        <v>2279</v>
      </c>
      <c r="M564" t="s">
        <v>2279</v>
      </c>
      <c r="N564" t="s">
        <v>2279</v>
      </c>
      <c r="O564" s="190" t="str">
        <f>"["&amp;$C564&amp;"]["&amp;$D564&amp;"]["&amp;$F564&amp;"]"</f>
        <v>[S05_ImprovementReportArt69][7][ImprovementReportSubmitted]</v>
      </c>
    </row>
    <row r="565" spans="1:15" x14ac:dyDescent="0.3">
      <c r="A565" t="s">
        <v>2277</v>
      </c>
      <c r="B565" t="s">
        <v>1886</v>
      </c>
      <c r="C565" t="s">
        <v>1887</v>
      </c>
      <c r="D565">
        <v>8</v>
      </c>
      <c r="E565" t="s">
        <v>1447</v>
      </c>
      <c r="F565" t="s">
        <v>1891</v>
      </c>
      <c r="G565" t="s">
        <v>1748</v>
      </c>
      <c r="H565" t="s">
        <v>2279</v>
      </c>
      <c r="I565">
        <v>0</v>
      </c>
      <c r="J565" t="s">
        <v>2279</v>
      </c>
      <c r="K565" t="s">
        <v>2279</v>
      </c>
      <c r="L565" t="s">
        <v>2279</v>
      </c>
      <c r="M565" t="s">
        <v>2279</v>
      </c>
      <c r="N565" t="s">
        <v>2279</v>
      </c>
      <c r="O565" s="190" t="str">
        <f>"["&amp;$C565&amp;"]["&amp;$D565&amp;"]["&amp;$F565&amp;"]"</f>
        <v>[S05_ImprovementReportArt69][8][ImprovementReportSubmitted]</v>
      </c>
    </row>
    <row r="566" spans="1:15" x14ac:dyDescent="0.3">
      <c r="A566" t="s">
        <v>2277</v>
      </c>
      <c r="B566" t="s">
        <v>1886</v>
      </c>
      <c r="C566" t="s">
        <v>1887</v>
      </c>
      <c r="D566">
        <v>9</v>
      </c>
      <c r="E566" t="s">
        <v>1447</v>
      </c>
      <c r="F566" t="s">
        <v>1891</v>
      </c>
      <c r="G566" t="s">
        <v>1748</v>
      </c>
      <c r="H566" t="s">
        <v>2279</v>
      </c>
      <c r="I566">
        <v>1</v>
      </c>
      <c r="J566" t="s">
        <v>2279</v>
      </c>
      <c r="K566" t="s">
        <v>2279</v>
      </c>
      <c r="L566" t="s">
        <v>2279</v>
      </c>
      <c r="M566" t="s">
        <v>2279</v>
      </c>
      <c r="N566" t="s">
        <v>2279</v>
      </c>
      <c r="O566" s="190" t="str">
        <f>"["&amp;$C566&amp;"]["&amp;$D566&amp;"]["&amp;$F566&amp;"]"</f>
        <v>[S05_ImprovementReportArt69][9][ImprovementReportSubmitted]</v>
      </c>
    </row>
    <row r="567" spans="1:15" x14ac:dyDescent="0.3">
      <c r="A567" t="s">
        <v>2277</v>
      </c>
      <c r="B567" t="s">
        <v>1886</v>
      </c>
      <c r="C567" t="s">
        <v>1887</v>
      </c>
      <c r="D567">
        <v>10</v>
      </c>
      <c r="E567" t="s">
        <v>1447</v>
      </c>
      <c r="F567" t="s">
        <v>1891</v>
      </c>
      <c r="G567" t="s">
        <v>1748</v>
      </c>
      <c r="H567" t="s">
        <v>2279</v>
      </c>
      <c r="I567">
        <v>1</v>
      </c>
      <c r="J567" t="s">
        <v>2279</v>
      </c>
      <c r="K567" t="s">
        <v>2279</v>
      </c>
      <c r="L567" t="s">
        <v>2279</v>
      </c>
      <c r="M567" t="s">
        <v>2279</v>
      </c>
      <c r="N567" t="s">
        <v>2279</v>
      </c>
      <c r="O567" s="190" t="str">
        <f>"["&amp;$C567&amp;"]["&amp;$D567&amp;"]["&amp;$F567&amp;"]"</f>
        <v>[S05_ImprovementReportArt69][10][ImprovementReportSubmitted]</v>
      </c>
    </row>
    <row r="568" spans="1:15" x14ac:dyDescent="0.3">
      <c r="A568" t="s">
        <v>2277</v>
      </c>
      <c r="B568" t="s">
        <v>1886</v>
      </c>
      <c r="C568" t="s">
        <v>1887</v>
      </c>
      <c r="D568">
        <v>11</v>
      </c>
      <c r="E568" t="s">
        <v>1447</v>
      </c>
      <c r="F568" t="s">
        <v>1891</v>
      </c>
      <c r="G568" t="s">
        <v>1748</v>
      </c>
      <c r="H568" t="s">
        <v>2279</v>
      </c>
      <c r="I568">
        <v>0</v>
      </c>
      <c r="J568" t="s">
        <v>2279</v>
      </c>
      <c r="K568" t="s">
        <v>2279</v>
      </c>
      <c r="L568" t="s">
        <v>2279</v>
      </c>
      <c r="M568" t="s">
        <v>2279</v>
      </c>
      <c r="N568" t="s">
        <v>2279</v>
      </c>
      <c r="O568" s="190" t="str">
        <f>"["&amp;$C568&amp;"]["&amp;$D568&amp;"]["&amp;$F568&amp;"]"</f>
        <v>[S05_ImprovementReportArt69][11][ImprovementReportSubmitted]</v>
      </c>
    </row>
    <row r="569" spans="1:15" x14ac:dyDescent="0.3">
      <c r="A569" t="s">
        <v>2277</v>
      </c>
      <c r="B569" t="s">
        <v>1892</v>
      </c>
      <c r="C569" t="s">
        <v>1893</v>
      </c>
      <c r="D569">
        <v>0</v>
      </c>
      <c r="E569" t="s">
        <v>1447</v>
      </c>
      <c r="F569" t="s">
        <v>1893</v>
      </c>
      <c r="G569" t="s">
        <v>1759</v>
      </c>
      <c r="H569" t="s">
        <v>2279</v>
      </c>
      <c r="I569" t="s">
        <v>2279</v>
      </c>
      <c r="J569" t="s">
        <v>2279</v>
      </c>
      <c r="K569" t="s">
        <v>2279</v>
      </c>
      <c r="L569" t="s">
        <v>1447</v>
      </c>
      <c r="M569" t="s">
        <v>2279</v>
      </c>
      <c r="N569" t="s">
        <v>2279</v>
      </c>
      <c r="O569" s="190" t="str">
        <f>"["&amp;$C569&amp;"]["&amp;$D569&amp;"]["&amp;$F569&amp;"]"</f>
        <v>[InherentCarbonTransferred][0][InherentCarbonTransferred]</v>
      </c>
    </row>
    <row r="570" spans="1:15" x14ac:dyDescent="0.3">
      <c r="A570" t="s">
        <v>2277</v>
      </c>
      <c r="B570" t="s">
        <v>1902</v>
      </c>
      <c r="C570" t="s">
        <v>1903</v>
      </c>
      <c r="D570">
        <v>0</v>
      </c>
      <c r="E570" t="s">
        <v>1447</v>
      </c>
      <c r="F570" t="s">
        <v>1903</v>
      </c>
      <c r="G570" t="s">
        <v>1759</v>
      </c>
      <c r="H570" t="s">
        <v>2279</v>
      </c>
      <c r="I570" t="s">
        <v>2279</v>
      </c>
      <c r="J570" t="s">
        <v>2279</v>
      </c>
      <c r="K570" t="s">
        <v>2279</v>
      </c>
      <c r="L570" t="s">
        <v>1419</v>
      </c>
      <c r="M570" t="s">
        <v>2279</v>
      </c>
      <c r="N570" t="s">
        <v>2279</v>
      </c>
      <c r="O570" s="190" t="str">
        <f>"["&amp;$C570&amp;"]["&amp;$D570&amp;"]["&amp;$F570&amp;"]"</f>
        <v>[ContinuousEmissionsMeasurement][0][ContinuousEmissionsMeasurement]</v>
      </c>
    </row>
    <row r="571" spans="1:15" x14ac:dyDescent="0.3">
      <c r="A571" t="s">
        <v>2277</v>
      </c>
      <c r="B571" t="s">
        <v>1902</v>
      </c>
      <c r="C571" t="s">
        <v>1904</v>
      </c>
      <c r="D571">
        <v>1</v>
      </c>
      <c r="E571" t="s">
        <v>1447</v>
      </c>
      <c r="F571" t="s">
        <v>1905</v>
      </c>
      <c r="G571" t="s">
        <v>1741</v>
      </c>
      <c r="H571" t="s">
        <v>2355</v>
      </c>
      <c r="I571" t="s">
        <v>2279</v>
      </c>
      <c r="J571" t="s">
        <v>2279</v>
      </c>
      <c r="K571" t="s">
        <v>2279</v>
      </c>
      <c r="L571" t="s">
        <v>2279</v>
      </c>
      <c r="M571" t="s">
        <v>2279</v>
      </c>
      <c r="N571" t="s">
        <v>2279</v>
      </c>
      <c r="O571" s="190" t="str">
        <f>"["&amp;$C571&amp;"]["&amp;$D571&amp;"]["&amp;$F571&amp;"]"</f>
        <v>[S05_ContinuousEmissionsMeasurementDetail][1][InstallationIDCO2]</v>
      </c>
    </row>
    <row r="572" spans="1:15" x14ac:dyDescent="0.3">
      <c r="A572" t="s">
        <v>2277</v>
      </c>
      <c r="B572" t="s">
        <v>1902</v>
      </c>
      <c r="C572" t="s">
        <v>1904</v>
      </c>
      <c r="D572">
        <v>2</v>
      </c>
      <c r="E572" t="s">
        <v>1447</v>
      </c>
      <c r="F572" t="s">
        <v>1905</v>
      </c>
      <c r="G572" t="s">
        <v>1741</v>
      </c>
      <c r="H572" t="s">
        <v>2356</v>
      </c>
      <c r="I572" t="s">
        <v>2279</v>
      </c>
      <c r="J572" t="s">
        <v>2279</v>
      </c>
      <c r="K572" t="s">
        <v>2279</v>
      </c>
      <c r="L572" t="s">
        <v>2279</v>
      </c>
      <c r="M572" t="s">
        <v>2279</v>
      </c>
      <c r="N572" t="s">
        <v>2279</v>
      </c>
      <c r="O572" s="190" t="str">
        <f>"["&amp;$C572&amp;"]["&amp;$D572&amp;"]["&amp;$F572&amp;"]"</f>
        <v>[S05_ContinuousEmissionsMeasurementDetail][2][InstallationIDCO2]</v>
      </c>
    </row>
    <row r="573" spans="1:15" x14ac:dyDescent="0.3">
      <c r="A573" t="s">
        <v>2277</v>
      </c>
      <c r="B573" t="s">
        <v>1902</v>
      </c>
      <c r="C573" t="s">
        <v>1904</v>
      </c>
      <c r="D573">
        <v>3</v>
      </c>
      <c r="E573" t="s">
        <v>1447</v>
      </c>
      <c r="F573" t="s">
        <v>1905</v>
      </c>
      <c r="G573" t="s">
        <v>1741</v>
      </c>
      <c r="H573" t="s">
        <v>2357</v>
      </c>
      <c r="I573" t="s">
        <v>2279</v>
      </c>
      <c r="J573" t="s">
        <v>2279</v>
      </c>
      <c r="K573" t="s">
        <v>2279</v>
      </c>
      <c r="L573" t="s">
        <v>2279</v>
      </c>
      <c r="M573" t="s">
        <v>2279</v>
      </c>
      <c r="N573" t="s">
        <v>2279</v>
      </c>
      <c r="O573" s="190" t="str">
        <f>"["&amp;$C573&amp;"]["&amp;$D573&amp;"]["&amp;$F573&amp;"]"</f>
        <v>[S05_ContinuousEmissionsMeasurementDetail][3][InstallationIDCO2]</v>
      </c>
    </row>
    <row r="574" spans="1:15" x14ac:dyDescent="0.3">
      <c r="A574" t="s">
        <v>2277</v>
      </c>
      <c r="B574" t="s">
        <v>1902</v>
      </c>
      <c r="C574" t="s">
        <v>1904</v>
      </c>
      <c r="D574">
        <v>4</v>
      </c>
      <c r="E574" t="s">
        <v>1447</v>
      </c>
      <c r="F574" t="s">
        <v>1905</v>
      </c>
      <c r="G574" t="s">
        <v>1741</v>
      </c>
      <c r="H574" t="s">
        <v>2358</v>
      </c>
      <c r="I574" t="s">
        <v>2279</v>
      </c>
      <c r="J574" t="s">
        <v>2279</v>
      </c>
      <c r="K574" t="s">
        <v>2279</v>
      </c>
      <c r="L574" t="s">
        <v>2279</v>
      </c>
      <c r="M574" t="s">
        <v>2279</v>
      </c>
      <c r="N574" t="s">
        <v>2279</v>
      </c>
      <c r="O574" s="190" t="str">
        <f>"["&amp;$C574&amp;"]["&amp;$D574&amp;"]["&amp;$F574&amp;"]"</f>
        <v>[S05_ContinuousEmissionsMeasurementDetail][4][InstallationIDCO2]</v>
      </c>
    </row>
    <row r="575" spans="1:15" x14ac:dyDescent="0.3">
      <c r="A575" t="s">
        <v>2277</v>
      </c>
      <c r="B575" t="s">
        <v>1902</v>
      </c>
      <c r="C575" t="s">
        <v>1904</v>
      </c>
      <c r="D575">
        <v>5</v>
      </c>
      <c r="E575" t="s">
        <v>1447</v>
      </c>
      <c r="F575" t="s">
        <v>1905</v>
      </c>
      <c r="G575" t="s">
        <v>1741</v>
      </c>
      <c r="H575" t="s">
        <v>2359</v>
      </c>
      <c r="I575" t="s">
        <v>2279</v>
      </c>
      <c r="J575" t="s">
        <v>2279</v>
      </c>
      <c r="K575" t="s">
        <v>2279</v>
      </c>
      <c r="L575" t="s">
        <v>2279</v>
      </c>
      <c r="M575" t="s">
        <v>2279</v>
      </c>
      <c r="N575" t="s">
        <v>2279</v>
      </c>
      <c r="O575" s="190" t="str">
        <f>"["&amp;$C575&amp;"]["&amp;$D575&amp;"]["&amp;$F575&amp;"]"</f>
        <v>[S05_ContinuousEmissionsMeasurementDetail][5][InstallationIDCO2]</v>
      </c>
    </row>
    <row r="576" spans="1:15" x14ac:dyDescent="0.3">
      <c r="A576" t="s">
        <v>2277</v>
      </c>
      <c r="B576" t="s">
        <v>1902</v>
      </c>
      <c r="C576" t="s">
        <v>1904</v>
      </c>
      <c r="D576">
        <v>6</v>
      </c>
      <c r="E576" t="s">
        <v>1447</v>
      </c>
      <c r="F576" t="s">
        <v>1905</v>
      </c>
      <c r="G576" t="s">
        <v>1741</v>
      </c>
      <c r="H576" t="s">
        <v>2360</v>
      </c>
      <c r="I576" t="s">
        <v>2279</v>
      </c>
      <c r="J576" t="s">
        <v>2279</v>
      </c>
      <c r="K576" t="s">
        <v>2279</v>
      </c>
      <c r="L576" t="s">
        <v>2279</v>
      </c>
      <c r="M576" t="s">
        <v>2279</v>
      </c>
      <c r="N576" t="s">
        <v>2279</v>
      </c>
      <c r="O576" s="190" t="str">
        <f>"["&amp;$C576&amp;"]["&amp;$D576&amp;"]["&amp;$F576&amp;"]"</f>
        <v>[S05_ContinuousEmissionsMeasurementDetail][6][InstallationIDCO2]</v>
      </c>
    </row>
    <row r="577" spans="1:15" x14ac:dyDescent="0.3">
      <c r="A577" t="s">
        <v>2277</v>
      </c>
      <c r="B577" t="s">
        <v>1902</v>
      </c>
      <c r="C577" t="s">
        <v>1904</v>
      </c>
      <c r="D577">
        <v>7</v>
      </c>
      <c r="E577" t="s">
        <v>1447</v>
      </c>
      <c r="F577" t="s">
        <v>1905</v>
      </c>
      <c r="G577" t="s">
        <v>1741</v>
      </c>
      <c r="H577" t="s">
        <v>2361</v>
      </c>
      <c r="I577" t="s">
        <v>2279</v>
      </c>
      <c r="J577" t="s">
        <v>2279</v>
      </c>
      <c r="K577" t="s">
        <v>2279</v>
      </c>
      <c r="L577" t="s">
        <v>2279</v>
      </c>
      <c r="M577" t="s">
        <v>2279</v>
      </c>
      <c r="N577" t="s">
        <v>2279</v>
      </c>
      <c r="O577" s="190" t="str">
        <f>"["&amp;$C577&amp;"]["&amp;$D577&amp;"]["&amp;$F577&amp;"]"</f>
        <v>[S05_ContinuousEmissionsMeasurementDetail][7][InstallationIDCO2]</v>
      </c>
    </row>
    <row r="578" spans="1:15" x14ac:dyDescent="0.3">
      <c r="A578" t="s">
        <v>2277</v>
      </c>
      <c r="B578" t="s">
        <v>1902</v>
      </c>
      <c r="C578" t="s">
        <v>1904</v>
      </c>
      <c r="D578">
        <v>8</v>
      </c>
      <c r="E578" t="s">
        <v>1447</v>
      </c>
      <c r="F578" t="s">
        <v>1905</v>
      </c>
      <c r="G578" t="s">
        <v>1741</v>
      </c>
      <c r="H578" t="s">
        <v>2362</v>
      </c>
      <c r="I578" t="s">
        <v>2279</v>
      </c>
      <c r="J578" t="s">
        <v>2279</v>
      </c>
      <c r="K578" t="s">
        <v>2279</v>
      </c>
      <c r="L578" t="s">
        <v>2279</v>
      </c>
      <c r="M578" t="s">
        <v>2279</v>
      </c>
      <c r="N578" t="s">
        <v>2279</v>
      </c>
      <c r="O578" s="190" t="str">
        <f>"["&amp;$C578&amp;"]["&amp;$D578&amp;"]["&amp;$F578&amp;"]"</f>
        <v>[S05_ContinuousEmissionsMeasurementDetail][8][InstallationIDCO2]</v>
      </c>
    </row>
    <row r="579" spans="1:15" x14ac:dyDescent="0.3">
      <c r="A579" t="s">
        <v>2277</v>
      </c>
      <c r="B579" t="s">
        <v>1902</v>
      </c>
      <c r="C579" t="s">
        <v>1904</v>
      </c>
      <c r="D579">
        <v>9</v>
      </c>
      <c r="E579" t="s">
        <v>1447</v>
      </c>
      <c r="F579" t="s">
        <v>1905</v>
      </c>
      <c r="G579" t="s">
        <v>1741</v>
      </c>
      <c r="H579" t="s">
        <v>2363</v>
      </c>
      <c r="I579" t="s">
        <v>2279</v>
      </c>
      <c r="J579" t="s">
        <v>2279</v>
      </c>
      <c r="K579" t="s">
        <v>2279</v>
      </c>
      <c r="L579" t="s">
        <v>2279</v>
      </c>
      <c r="M579" t="s">
        <v>2279</v>
      </c>
      <c r="N579" t="s">
        <v>2279</v>
      </c>
      <c r="O579" s="190" t="str">
        <f>"["&amp;$C579&amp;"]["&amp;$D579&amp;"]["&amp;$F579&amp;"]"</f>
        <v>[S05_ContinuousEmissionsMeasurementDetail][9][InstallationIDCO2]</v>
      </c>
    </row>
    <row r="580" spans="1:15" x14ac:dyDescent="0.3">
      <c r="A580" t="s">
        <v>2277</v>
      </c>
      <c r="B580" t="s">
        <v>1902</v>
      </c>
      <c r="C580" t="s">
        <v>1904</v>
      </c>
      <c r="D580">
        <v>10</v>
      </c>
      <c r="E580" t="s">
        <v>1447</v>
      </c>
      <c r="F580" t="s">
        <v>1905</v>
      </c>
      <c r="G580" t="s">
        <v>1741</v>
      </c>
      <c r="H580" t="s">
        <v>2364</v>
      </c>
      <c r="I580" t="s">
        <v>2279</v>
      </c>
      <c r="J580" t="s">
        <v>2279</v>
      </c>
      <c r="K580" t="s">
        <v>2279</v>
      </c>
      <c r="L580" t="s">
        <v>2279</v>
      </c>
      <c r="M580" t="s">
        <v>2279</v>
      </c>
      <c r="N580" t="s">
        <v>2279</v>
      </c>
      <c r="O580" s="190" t="str">
        <f>"["&amp;$C580&amp;"]["&amp;$D580&amp;"]["&amp;$F580&amp;"]"</f>
        <v>[S05_ContinuousEmissionsMeasurementDetail][10][InstallationIDCO2]</v>
      </c>
    </row>
    <row r="581" spans="1:15" x14ac:dyDescent="0.3">
      <c r="A581" t="s">
        <v>2277</v>
      </c>
      <c r="B581" t="s">
        <v>1902</v>
      </c>
      <c r="C581" t="s">
        <v>1904</v>
      </c>
      <c r="D581">
        <v>11</v>
      </c>
      <c r="E581" t="s">
        <v>1447</v>
      </c>
      <c r="F581" t="s">
        <v>1905</v>
      </c>
      <c r="G581" t="s">
        <v>1741</v>
      </c>
      <c r="H581" t="s">
        <v>2365</v>
      </c>
      <c r="I581" t="s">
        <v>2279</v>
      </c>
      <c r="J581" t="s">
        <v>2279</v>
      </c>
      <c r="K581" t="s">
        <v>2279</v>
      </c>
      <c r="L581" t="s">
        <v>2279</v>
      </c>
      <c r="M581" t="s">
        <v>2279</v>
      </c>
      <c r="N581" t="s">
        <v>2279</v>
      </c>
      <c r="O581" s="190" t="str">
        <f>"["&amp;$C581&amp;"]["&amp;$D581&amp;"]["&amp;$F581&amp;"]"</f>
        <v>[S05_ContinuousEmissionsMeasurementDetail][11][InstallationIDCO2]</v>
      </c>
    </row>
    <row r="582" spans="1:15" x14ac:dyDescent="0.3">
      <c r="A582" t="s">
        <v>2277</v>
      </c>
      <c r="B582" t="s">
        <v>1902</v>
      </c>
      <c r="C582" t="s">
        <v>1904</v>
      </c>
      <c r="D582">
        <v>12</v>
      </c>
      <c r="E582" t="s">
        <v>1447</v>
      </c>
      <c r="F582" t="s">
        <v>1905</v>
      </c>
      <c r="G582" t="s">
        <v>1741</v>
      </c>
      <c r="H582" t="s">
        <v>2366</v>
      </c>
      <c r="I582" t="s">
        <v>2279</v>
      </c>
      <c r="J582" t="s">
        <v>2279</v>
      </c>
      <c r="K582" t="s">
        <v>2279</v>
      </c>
      <c r="L582" t="s">
        <v>2279</v>
      </c>
      <c r="M582" t="s">
        <v>2279</v>
      </c>
      <c r="N582" t="s">
        <v>2279</v>
      </c>
      <c r="O582" s="190" t="str">
        <f>"["&amp;$C582&amp;"]["&amp;$D582&amp;"]["&amp;$F582&amp;"]"</f>
        <v>[S05_ContinuousEmissionsMeasurementDetail][12][InstallationIDCO2]</v>
      </c>
    </row>
    <row r="583" spans="1:15" x14ac:dyDescent="0.3">
      <c r="A583" t="s">
        <v>2277</v>
      </c>
      <c r="B583" t="s">
        <v>1902</v>
      </c>
      <c r="C583" t="s">
        <v>1904</v>
      </c>
      <c r="D583">
        <v>1</v>
      </c>
      <c r="E583" t="s">
        <v>1447</v>
      </c>
      <c r="F583" t="s">
        <v>1907</v>
      </c>
      <c r="G583" t="s">
        <v>1806</v>
      </c>
      <c r="H583" t="s">
        <v>2279</v>
      </c>
      <c r="I583" t="s">
        <v>2279</v>
      </c>
      <c r="J583">
        <v>224719.07</v>
      </c>
      <c r="K583" t="s">
        <v>2279</v>
      </c>
      <c r="L583" t="s">
        <v>2279</v>
      </c>
      <c r="M583" t="s">
        <v>2279</v>
      </c>
      <c r="N583" t="s">
        <v>2279</v>
      </c>
      <c r="O583" s="190" t="str">
        <f>"["&amp;$C583&amp;"]["&amp;$D583&amp;"]["&amp;$F583&amp;"]"</f>
        <v>[S05_ContinuousEmissionsMeasurementDetail][1][TotalEmissionsCO2E]</v>
      </c>
    </row>
    <row r="584" spans="1:15" x14ac:dyDescent="0.3">
      <c r="A584" t="s">
        <v>2277</v>
      </c>
      <c r="B584" t="s">
        <v>1902</v>
      </c>
      <c r="C584" t="s">
        <v>1904</v>
      </c>
      <c r="D584">
        <v>2</v>
      </c>
      <c r="E584" t="s">
        <v>1447</v>
      </c>
      <c r="F584" t="s">
        <v>1907</v>
      </c>
      <c r="G584" t="s">
        <v>1806</v>
      </c>
      <c r="H584" t="s">
        <v>2279</v>
      </c>
      <c r="I584" t="s">
        <v>2279</v>
      </c>
      <c r="J584">
        <v>564332.06000000006</v>
      </c>
      <c r="K584" t="s">
        <v>2279</v>
      </c>
      <c r="L584" t="s">
        <v>2279</v>
      </c>
      <c r="M584" t="s">
        <v>2279</v>
      </c>
      <c r="N584" t="s">
        <v>2279</v>
      </c>
      <c r="O584" s="190" t="str">
        <f>"["&amp;$C584&amp;"]["&amp;$D584&amp;"]["&amp;$F584&amp;"]"</f>
        <v>[S05_ContinuousEmissionsMeasurementDetail][2][TotalEmissionsCO2E]</v>
      </c>
    </row>
    <row r="585" spans="1:15" x14ac:dyDescent="0.3">
      <c r="A585" t="s">
        <v>2277</v>
      </c>
      <c r="B585" t="s">
        <v>1902</v>
      </c>
      <c r="C585" t="s">
        <v>1904</v>
      </c>
      <c r="D585">
        <v>3</v>
      </c>
      <c r="E585" t="s">
        <v>1447</v>
      </c>
      <c r="F585" t="s">
        <v>1907</v>
      </c>
      <c r="G585" t="s">
        <v>1806</v>
      </c>
      <c r="H585" t="s">
        <v>2279</v>
      </c>
      <c r="I585" t="s">
        <v>2279</v>
      </c>
      <c r="J585">
        <v>368636.68</v>
      </c>
      <c r="K585" t="s">
        <v>2279</v>
      </c>
      <c r="L585" t="s">
        <v>2279</v>
      </c>
      <c r="M585" t="s">
        <v>2279</v>
      </c>
      <c r="N585" t="s">
        <v>2279</v>
      </c>
      <c r="O585" s="190" t="str">
        <f>"["&amp;$C585&amp;"]["&amp;$D585&amp;"]["&amp;$F585&amp;"]"</f>
        <v>[S05_ContinuousEmissionsMeasurementDetail][3][TotalEmissionsCO2E]</v>
      </c>
    </row>
    <row r="586" spans="1:15" x14ac:dyDescent="0.3">
      <c r="A586" t="s">
        <v>2277</v>
      </c>
      <c r="B586" t="s">
        <v>1902</v>
      </c>
      <c r="C586" t="s">
        <v>1904</v>
      </c>
      <c r="D586">
        <v>4</v>
      </c>
      <c r="E586" t="s">
        <v>1447</v>
      </c>
      <c r="F586" t="s">
        <v>1907</v>
      </c>
      <c r="G586" t="s">
        <v>1806</v>
      </c>
      <c r="H586" t="s">
        <v>2279</v>
      </c>
      <c r="I586" t="s">
        <v>2279</v>
      </c>
      <c r="J586">
        <v>168794.68</v>
      </c>
      <c r="K586" t="s">
        <v>2279</v>
      </c>
      <c r="L586" t="s">
        <v>2279</v>
      </c>
      <c r="M586" t="s">
        <v>2279</v>
      </c>
      <c r="N586" t="s">
        <v>2279</v>
      </c>
      <c r="O586" s="190" t="str">
        <f>"["&amp;$C586&amp;"]["&amp;$D586&amp;"]["&amp;$F586&amp;"]"</f>
        <v>[S05_ContinuousEmissionsMeasurementDetail][4][TotalEmissionsCO2E]</v>
      </c>
    </row>
    <row r="587" spans="1:15" x14ac:dyDescent="0.3">
      <c r="A587" t="s">
        <v>2277</v>
      </c>
      <c r="B587" t="s">
        <v>1902</v>
      </c>
      <c r="C587" t="s">
        <v>1904</v>
      </c>
      <c r="D587">
        <v>5</v>
      </c>
      <c r="E587" t="s">
        <v>1447</v>
      </c>
      <c r="F587" t="s">
        <v>1907</v>
      </c>
      <c r="G587" t="s">
        <v>1806</v>
      </c>
      <c r="H587" t="s">
        <v>2279</v>
      </c>
      <c r="I587" t="s">
        <v>2279</v>
      </c>
      <c r="J587">
        <v>243267.54</v>
      </c>
      <c r="K587" t="s">
        <v>2279</v>
      </c>
      <c r="L587" t="s">
        <v>2279</v>
      </c>
      <c r="M587" t="s">
        <v>2279</v>
      </c>
      <c r="N587" t="s">
        <v>2279</v>
      </c>
      <c r="O587" s="190" t="str">
        <f>"["&amp;$C587&amp;"]["&amp;$D587&amp;"]["&amp;$F587&amp;"]"</f>
        <v>[S05_ContinuousEmissionsMeasurementDetail][5][TotalEmissionsCO2E]</v>
      </c>
    </row>
    <row r="588" spans="1:15" x14ac:dyDescent="0.3">
      <c r="A588" t="s">
        <v>2277</v>
      </c>
      <c r="B588" t="s">
        <v>1902</v>
      </c>
      <c r="C588" t="s">
        <v>1904</v>
      </c>
      <c r="D588">
        <v>6</v>
      </c>
      <c r="E588" t="s">
        <v>1447</v>
      </c>
      <c r="F588" t="s">
        <v>1907</v>
      </c>
      <c r="G588" t="s">
        <v>1806</v>
      </c>
      <c r="H588" t="s">
        <v>2279</v>
      </c>
      <c r="I588" t="s">
        <v>2279</v>
      </c>
      <c r="J588">
        <v>96274</v>
      </c>
      <c r="K588" t="s">
        <v>2279</v>
      </c>
      <c r="L588" t="s">
        <v>2279</v>
      </c>
      <c r="M588" t="s">
        <v>2279</v>
      </c>
      <c r="N588" t="s">
        <v>2279</v>
      </c>
      <c r="O588" s="190" t="str">
        <f>"["&amp;$C588&amp;"]["&amp;$D588&amp;"]["&amp;$F588&amp;"]"</f>
        <v>[S05_ContinuousEmissionsMeasurementDetail][6][TotalEmissionsCO2E]</v>
      </c>
    </row>
    <row r="589" spans="1:15" x14ac:dyDescent="0.3">
      <c r="A589" t="s">
        <v>2277</v>
      </c>
      <c r="B589" t="s">
        <v>1902</v>
      </c>
      <c r="C589" t="s">
        <v>1904</v>
      </c>
      <c r="D589">
        <v>7</v>
      </c>
      <c r="E589" t="s">
        <v>1447</v>
      </c>
      <c r="F589" t="s">
        <v>1907</v>
      </c>
      <c r="G589" t="s">
        <v>1806</v>
      </c>
      <c r="H589" t="s">
        <v>2279</v>
      </c>
      <c r="I589" t="s">
        <v>2279</v>
      </c>
      <c r="J589">
        <v>513610.42</v>
      </c>
      <c r="K589" t="s">
        <v>2279</v>
      </c>
      <c r="L589" t="s">
        <v>2279</v>
      </c>
      <c r="M589" t="s">
        <v>2279</v>
      </c>
      <c r="N589" t="s">
        <v>2279</v>
      </c>
      <c r="O589" s="190" t="str">
        <f>"["&amp;$C589&amp;"]["&amp;$D589&amp;"]["&amp;$F589&amp;"]"</f>
        <v>[S05_ContinuousEmissionsMeasurementDetail][7][TotalEmissionsCO2E]</v>
      </c>
    </row>
    <row r="590" spans="1:15" x14ac:dyDescent="0.3">
      <c r="A590" t="s">
        <v>2277</v>
      </c>
      <c r="B590" t="s">
        <v>1902</v>
      </c>
      <c r="C590" t="s">
        <v>1904</v>
      </c>
      <c r="D590">
        <v>8</v>
      </c>
      <c r="E590" t="s">
        <v>1447</v>
      </c>
      <c r="F590" t="s">
        <v>1907</v>
      </c>
      <c r="G590" t="s">
        <v>1806</v>
      </c>
      <c r="H590" t="s">
        <v>2279</v>
      </c>
      <c r="I590" t="s">
        <v>2279</v>
      </c>
      <c r="J590">
        <v>267282</v>
      </c>
      <c r="K590" t="s">
        <v>2279</v>
      </c>
      <c r="L590" t="s">
        <v>2279</v>
      </c>
      <c r="M590" t="s">
        <v>2279</v>
      </c>
      <c r="N590" t="s">
        <v>2279</v>
      </c>
      <c r="O590" s="190" t="str">
        <f>"["&amp;$C590&amp;"]["&amp;$D590&amp;"]["&amp;$F590&amp;"]"</f>
        <v>[S05_ContinuousEmissionsMeasurementDetail][8][TotalEmissionsCO2E]</v>
      </c>
    </row>
    <row r="591" spans="1:15" x14ac:dyDescent="0.3">
      <c r="A591" t="s">
        <v>2277</v>
      </c>
      <c r="B591" t="s">
        <v>1902</v>
      </c>
      <c r="C591" t="s">
        <v>1904</v>
      </c>
      <c r="D591">
        <v>9</v>
      </c>
      <c r="E591" t="s">
        <v>1447</v>
      </c>
      <c r="F591" t="s">
        <v>1907</v>
      </c>
      <c r="G591" t="s">
        <v>1806</v>
      </c>
      <c r="H591" t="s">
        <v>2279</v>
      </c>
      <c r="I591" t="s">
        <v>2279</v>
      </c>
      <c r="J591">
        <v>204328.71</v>
      </c>
      <c r="K591" t="s">
        <v>2279</v>
      </c>
      <c r="L591" t="s">
        <v>2279</v>
      </c>
      <c r="M591" t="s">
        <v>2279</v>
      </c>
      <c r="N591" t="s">
        <v>2279</v>
      </c>
      <c r="O591" s="190" t="str">
        <f>"["&amp;$C591&amp;"]["&amp;$D591&amp;"]["&amp;$F591&amp;"]"</f>
        <v>[S05_ContinuousEmissionsMeasurementDetail][9][TotalEmissionsCO2E]</v>
      </c>
    </row>
    <row r="592" spans="1:15" x14ac:dyDescent="0.3">
      <c r="A592" t="s">
        <v>2277</v>
      </c>
      <c r="B592" t="s">
        <v>1902</v>
      </c>
      <c r="C592" t="s">
        <v>1904</v>
      </c>
      <c r="D592">
        <v>10</v>
      </c>
      <c r="E592" t="s">
        <v>1447</v>
      </c>
      <c r="F592" t="s">
        <v>1907</v>
      </c>
      <c r="G592" t="s">
        <v>1806</v>
      </c>
      <c r="H592" t="s">
        <v>2279</v>
      </c>
      <c r="I592" t="s">
        <v>2279</v>
      </c>
      <c r="J592">
        <v>177487.94</v>
      </c>
      <c r="K592" t="s">
        <v>2279</v>
      </c>
      <c r="L592" t="s">
        <v>2279</v>
      </c>
      <c r="M592" t="s">
        <v>2279</v>
      </c>
      <c r="N592" t="s">
        <v>2279</v>
      </c>
      <c r="O592" s="190" t="str">
        <f>"["&amp;$C592&amp;"]["&amp;$D592&amp;"]["&amp;$F592&amp;"]"</f>
        <v>[S05_ContinuousEmissionsMeasurementDetail][10][TotalEmissionsCO2E]</v>
      </c>
    </row>
    <row r="593" spans="1:15" x14ac:dyDescent="0.3">
      <c r="A593" t="s">
        <v>2277</v>
      </c>
      <c r="B593" t="s">
        <v>1902</v>
      </c>
      <c r="C593" t="s">
        <v>1904</v>
      </c>
      <c r="D593">
        <v>11</v>
      </c>
      <c r="E593" t="s">
        <v>1447</v>
      </c>
      <c r="F593" t="s">
        <v>1907</v>
      </c>
      <c r="G593" t="s">
        <v>1806</v>
      </c>
      <c r="H593" t="s">
        <v>2279</v>
      </c>
      <c r="I593" t="s">
        <v>2279</v>
      </c>
      <c r="J593">
        <v>321516.90999999997</v>
      </c>
      <c r="K593" t="s">
        <v>2279</v>
      </c>
      <c r="L593" t="s">
        <v>2279</v>
      </c>
      <c r="M593" t="s">
        <v>2279</v>
      </c>
      <c r="N593" t="s">
        <v>2279</v>
      </c>
      <c r="O593" s="190" t="str">
        <f>"["&amp;$C593&amp;"]["&amp;$D593&amp;"]["&amp;$F593&amp;"]"</f>
        <v>[S05_ContinuousEmissionsMeasurementDetail][11][TotalEmissionsCO2E]</v>
      </c>
    </row>
    <row r="594" spans="1:15" x14ac:dyDescent="0.3">
      <c r="A594" t="s">
        <v>2277</v>
      </c>
      <c r="B594" t="s">
        <v>1902</v>
      </c>
      <c r="C594" t="s">
        <v>1904</v>
      </c>
      <c r="D594">
        <v>12</v>
      </c>
      <c r="E594" t="s">
        <v>1447</v>
      </c>
      <c r="F594" t="s">
        <v>1907</v>
      </c>
      <c r="G594" t="s">
        <v>1806</v>
      </c>
      <c r="H594" t="s">
        <v>2279</v>
      </c>
      <c r="I594" t="s">
        <v>2279</v>
      </c>
      <c r="J594">
        <v>227726.44</v>
      </c>
      <c r="K594" t="s">
        <v>2279</v>
      </c>
      <c r="L594" t="s">
        <v>2279</v>
      </c>
      <c r="M594" t="s">
        <v>2279</v>
      </c>
      <c r="N594" t="s">
        <v>2279</v>
      </c>
      <c r="O594" s="190" t="str">
        <f>"["&amp;$C594&amp;"]["&amp;$D594&amp;"]["&amp;$F594&amp;"]"</f>
        <v>[S05_ContinuousEmissionsMeasurementDetail][12][TotalEmissionsCO2E]</v>
      </c>
    </row>
    <row r="595" spans="1:15" x14ac:dyDescent="0.3">
      <c r="A595" t="s">
        <v>2277</v>
      </c>
      <c r="B595" t="s">
        <v>1902</v>
      </c>
      <c r="C595" t="s">
        <v>1904</v>
      </c>
      <c r="D595">
        <v>1</v>
      </c>
      <c r="E595" t="s">
        <v>1447</v>
      </c>
      <c r="F595" t="s">
        <v>1908</v>
      </c>
      <c r="G595" t="s">
        <v>1806</v>
      </c>
      <c r="H595" t="s">
        <v>2279</v>
      </c>
      <c r="I595" t="s">
        <v>2279</v>
      </c>
      <c r="J595">
        <v>224717.27</v>
      </c>
      <c r="K595" t="s">
        <v>2279</v>
      </c>
      <c r="L595" t="s">
        <v>2279</v>
      </c>
      <c r="M595" t="s">
        <v>2279</v>
      </c>
      <c r="N595" t="s">
        <v>2279</v>
      </c>
      <c r="O595" s="190" t="str">
        <f>"["&amp;$C595&amp;"]["&amp;$D595&amp;"]["&amp;$F595&amp;"]"</f>
        <v>[S05_ContinuousEmissionsMeasurementDetail][1][ContinuousMeasurementTotalEmissions]</v>
      </c>
    </row>
    <row r="596" spans="1:15" x14ac:dyDescent="0.3">
      <c r="A596" t="s">
        <v>2277</v>
      </c>
      <c r="B596" t="s">
        <v>1902</v>
      </c>
      <c r="C596" t="s">
        <v>1904</v>
      </c>
      <c r="D596">
        <v>2</v>
      </c>
      <c r="E596" t="s">
        <v>1447</v>
      </c>
      <c r="F596" t="s">
        <v>1908</v>
      </c>
      <c r="G596" t="s">
        <v>1806</v>
      </c>
      <c r="H596" t="s">
        <v>2279</v>
      </c>
      <c r="I596" t="s">
        <v>2279</v>
      </c>
      <c r="J596">
        <v>564175.06000000006</v>
      </c>
      <c r="K596" t="s">
        <v>2279</v>
      </c>
      <c r="L596" t="s">
        <v>2279</v>
      </c>
      <c r="M596" t="s">
        <v>2279</v>
      </c>
      <c r="N596" t="s">
        <v>2279</v>
      </c>
      <c r="O596" s="190" t="str">
        <f>"["&amp;$C596&amp;"]["&amp;$D596&amp;"]["&amp;$F596&amp;"]"</f>
        <v>[S05_ContinuousEmissionsMeasurementDetail][2][ContinuousMeasurementTotalEmissions]</v>
      </c>
    </row>
    <row r="597" spans="1:15" x14ac:dyDescent="0.3">
      <c r="A597" t="s">
        <v>2277</v>
      </c>
      <c r="B597" t="s">
        <v>1902</v>
      </c>
      <c r="C597" t="s">
        <v>1904</v>
      </c>
      <c r="D597">
        <v>3</v>
      </c>
      <c r="E597" t="s">
        <v>1447</v>
      </c>
      <c r="F597" t="s">
        <v>1908</v>
      </c>
      <c r="G597" t="s">
        <v>1806</v>
      </c>
      <c r="H597" t="s">
        <v>2279</v>
      </c>
      <c r="I597" t="s">
        <v>2279</v>
      </c>
      <c r="J597">
        <v>368601.68</v>
      </c>
      <c r="K597" t="s">
        <v>2279</v>
      </c>
      <c r="L597" t="s">
        <v>2279</v>
      </c>
      <c r="M597" t="s">
        <v>2279</v>
      </c>
      <c r="N597" t="s">
        <v>2279</v>
      </c>
      <c r="O597" s="190" t="str">
        <f>"["&amp;$C597&amp;"]["&amp;$D597&amp;"]["&amp;$F597&amp;"]"</f>
        <v>[S05_ContinuousEmissionsMeasurementDetail][3][ContinuousMeasurementTotalEmissions]</v>
      </c>
    </row>
    <row r="598" spans="1:15" x14ac:dyDescent="0.3">
      <c r="A598" t="s">
        <v>2277</v>
      </c>
      <c r="B598" t="s">
        <v>1902</v>
      </c>
      <c r="C598" t="s">
        <v>1904</v>
      </c>
      <c r="D598">
        <v>4</v>
      </c>
      <c r="E598" t="s">
        <v>1447</v>
      </c>
      <c r="F598" t="s">
        <v>1908</v>
      </c>
      <c r="G598" t="s">
        <v>1806</v>
      </c>
      <c r="H598" t="s">
        <v>2279</v>
      </c>
      <c r="I598" t="s">
        <v>2279</v>
      </c>
      <c r="J598">
        <v>168538.68</v>
      </c>
      <c r="K598" t="s">
        <v>2279</v>
      </c>
      <c r="L598" t="s">
        <v>2279</v>
      </c>
      <c r="M598" t="s">
        <v>2279</v>
      </c>
      <c r="N598" t="s">
        <v>2279</v>
      </c>
      <c r="O598" s="190" t="str">
        <f>"["&amp;$C598&amp;"]["&amp;$D598&amp;"]["&amp;$F598&amp;"]"</f>
        <v>[S05_ContinuousEmissionsMeasurementDetail][4][ContinuousMeasurementTotalEmissions]</v>
      </c>
    </row>
    <row r="599" spans="1:15" x14ac:dyDescent="0.3">
      <c r="A599" t="s">
        <v>2277</v>
      </c>
      <c r="B599" t="s">
        <v>1902</v>
      </c>
      <c r="C599" t="s">
        <v>1904</v>
      </c>
      <c r="D599">
        <v>5</v>
      </c>
      <c r="E599" t="s">
        <v>1447</v>
      </c>
      <c r="F599" t="s">
        <v>1908</v>
      </c>
      <c r="G599" t="s">
        <v>1806</v>
      </c>
      <c r="H599" t="s">
        <v>2279</v>
      </c>
      <c r="I599" t="s">
        <v>2279</v>
      </c>
      <c r="J599">
        <v>243258.54</v>
      </c>
      <c r="K599" t="s">
        <v>2279</v>
      </c>
      <c r="L599" t="s">
        <v>2279</v>
      </c>
      <c r="M599" t="s">
        <v>2279</v>
      </c>
      <c r="N599" t="s">
        <v>2279</v>
      </c>
      <c r="O599" s="190" t="str">
        <f>"["&amp;$C599&amp;"]["&amp;$D599&amp;"]["&amp;$F599&amp;"]"</f>
        <v>[S05_ContinuousEmissionsMeasurementDetail][5][ContinuousMeasurementTotalEmissions]</v>
      </c>
    </row>
    <row r="600" spans="1:15" x14ac:dyDescent="0.3">
      <c r="A600" t="s">
        <v>2277</v>
      </c>
      <c r="B600" t="s">
        <v>1902</v>
      </c>
      <c r="C600" t="s">
        <v>1904</v>
      </c>
      <c r="D600">
        <v>6</v>
      </c>
      <c r="E600" t="s">
        <v>1447</v>
      </c>
      <c r="F600" t="s">
        <v>1908</v>
      </c>
      <c r="G600" t="s">
        <v>1806</v>
      </c>
      <c r="H600" t="s">
        <v>2279</v>
      </c>
      <c r="I600" t="s">
        <v>2279</v>
      </c>
      <c r="J600">
        <v>85521</v>
      </c>
      <c r="K600" t="s">
        <v>2279</v>
      </c>
      <c r="L600" t="s">
        <v>2279</v>
      </c>
      <c r="M600" t="s">
        <v>2279</v>
      </c>
      <c r="N600" t="s">
        <v>2279</v>
      </c>
      <c r="O600" s="190" t="str">
        <f>"["&amp;$C600&amp;"]["&amp;$D600&amp;"]["&amp;$F600&amp;"]"</f>
        <v>[S05_ContinuousEmissionsMeasurementDetail][6][ContinuousMeasurementTotalEmissions]</v>
      </c>
    </row>
    <row r="601" spans="1:15" x14ac:dyDescent="0.3">
      <c r="A601" t="s">
        <v>2277</v>
      </c>
      <c r="B601" t="s">
        <v>1902</v>
      </c>
      <c r="C601" t="s">
        <v>1904</v>
      </c>
      <c r="D601">
        <v>7</v>
      </c>
      <c r="E601" t="s">
        <v>1447</v>
      </c>
      <c r="F601" t="s">
        <v>1908</v>
      </c>
      <c r="G601" t="s">
        <v>1806</v>
      </c>
      <c r="H601" t="s">
        <v>2279</v>
      </c>
      <c r="I601" t="s">
        <v>2279</v>
      </c>
      <c r="J601">
        <v>505636.42</v>
      </c>
      <c r="K601" t="s">
        <v>2279</v>
      </c>
      <c r="L601" t="s">
        <v>2279</v>
      </c>
      <c r="M601" t="s">
        <v>2279</v>
      </c>
      <c r="N601" t="s">
        <v>2279</v>
      </c>
      <c r="O601" s="190" t="str">
        <f>"["&amp;$C601&amp;"]["&amp;$D601&amp;"]["&amp;$F601&amp;"]"</f>
        <v>[S05_ContinuousEmissionsMeasurementDetail][7][ContinuousMeasurementTotalEmissions]</v>
      </c>
    </row>
    <row r="602" spans="1:15" x14ac:dyDescent="0.3">
      <c r="A602" t="s">
        <v>2277</v>
      </c>
      <c r="B602" t="s">
        <v>1902</v>
      </c>
      <c r="C602" t="s">
        <v>1904</v>
      </c>
      <c r="D602">
        <v>8</v>
      </c>
      <c r="E602" t="s">
        <v>1447</v>
      </c>
      <c r="F602" t="s">
        <v>1908</v>
      </c>
      <c r="G602" t="s">
        <v>1806</v>
      </c>
      <c r="H602" t="s">
        <v>2279</v>
      </c>
      <c r="I602" t="s">
        <v>2279</v>
      </c>
      <c r="J602">
        <v>267273</v>
      </c>
      <c r="K602" t="s">
        <v>2279</v>
      </c>
      <c r="L602" t="s">
        <v>2279</v>
      </c>
      <c r="M602" t="s">
        <v>2279</v>
      </c>
      <c r="N602" t="s">
        <v>2279</v>
      </c>
      <c r="O602" s="190" t="str">
        <f>"["&amp;$C602&amp;"]["&amp;$D602&amp;"]["&amp;$F602&amp;"]"</f>
        <v>[S05_ContinuousEmissionsMeasurementDetail][8][ContinuousMeasurementTotalEmissions]</v>
      </c>
    </row>
    <row r="603" spans="1:15" x14ac:dyDescent="0.3">
      <c r="A603" t="s">
        <v>2277</v>
      </c>
      <c r="B603" t="s">
        <v>1902</v>
      </c>
      <c r="C603" t="s">
        <v>1904</v>
      </c>
      <c r="D603">
        <v>9</v>
      </c>
      <c r="E603" t="s">
        <v>1447</v>
      </c>
      <c r="F603" t="s">
        <v>1908</v>
      </c>
      <c r="G603" t="s">
        <v>1806</v>
      </c>
      <c r="H603" t="s">
        <v>2279</v>
      </c>
      <c r="I603" t="s">
        <v>2279</v>
      </c>
      <c r="J603">
        <v>204315.71</v>
      </c>
      <c r="K603" t="s">
        <v>2279</v>
      </c>
      <c r="L603" t="s">
        <v>2279</v>
      </c>
      <c r="M603" t="s">
        <v>2279</v>
      </c>
      <c r="N603" t="s">
        <v>2279</v>
      </c>
      <c r="O603" s="190" t="str">
        <f>"["&amp;$C603&amp;"]["&amp;$D603&amp;"]["&amp;$F603&amp;"]"</f>
        <v>[S05_ContinuousEmissionsMeasurementDetail][9][ContinuousMeasurementTotalEmissions]</v>
      </c>
    </row>
    <row r="604" spans="1:15" x14ac:dyDescent="0.3">
      <c r="A604" t="s">
        <v>2277</v>
      </c>
      <c r="B604" t="s">
        <v>1902</v>
      </c>
      <c r="C604" t="s">
        <v>1904</v>
      </c>
      <c r="D604">
        <v>10</v>
      </c>
      <c r="E604" t="s">
        <v>1447</v>
      </c>
      <c r="F604" t="s">
        <v>1908</v>
      </c>
      <c r="G604" t="s">
        <v>1806</v>
      </c>
      <c r="H604" t="s">
        <v>2279</v>
      </c>
      <c r="I604" t="s">
        <v>2279</v>
      </c>
      <c r="J604">
        <v>177428.94</v>
      </c>
      <c r="K604" t="s">
        <v>2279</v>
      </c>
      <c r="L604" t="s">
        <v>2279</v>
      </c>
      <c r="M604" t="s">
        <v>2279</v>
      </c>
      <c r="N604" t="s">
        <v>2279</v>
      </c>
      <c r="O604" s="190" t="str">
        <f>"["&amp;$C604&amp;"]["&amp;$D604&amp;"]["&amp;$F604&amp;"]"</f>
        <v>[S05_ContinuousEmissionsMeasurementDetail][10][ContinuousMeasurementTotalEmissions]</v>
      </c>
    </row>
    <row r="605" spans="1:15" x14ac:dyDescent="0.3">
      <c r="A605" t="s">
        <v>2277</v>
      </c>
      <c r="B605" t="s">
        <v>1902</v>
      </c>
      <c r="C605" t="s">
        <v>1904</v>
      </c>
      <c r="D605">
        <v>11</v>
      </c>
      <c r="E605" t="s">
        <v>1447</v>
      </c>
      <c r="F605" t="s">
        <v>1908</v>
      </c>
      <c r="G605" t="s">
        <v>1806</v>
      </c>
      <c r="H605" t="s">
        <v>2279</v>
      </c>
      <c r="I605" t="s">
        <v>2279</v>
      </c>
      <c r="J605">
        <v>321516.90999999997</v>
      </c>
      <c r="K605" t="s">
        <v>2279</v>
      </c>
      <c r="L605" t="s">
        <v>2279</v>
      </c>
      <c r="M605" t="s">
        <v>2279</v>
      </c>
      <c r="N605" t="s">
        <v>2279</v>
      </c>
      <c r="O605" s="190" t="str">
        <f>"["&amp;$C605&amp;"]["&amp;$D605&amp;"]["&amp;$F605&amp;"]"</f>
        <v>[S05_ContinuousEmissionsMeasurementDetail][11][ContinuousMeasurementTotalEmissions]</v>
      </c>
    </row>
    <row r="606" spans="1:15" x14ac:dyDescent="0.3">
      <c r="A606" t="s">
        <v>2277</v>
      </c>
      <c r="B606" t="s">
        <v>1902</v>
      </c>
      <c r="C606" t="s">
        <v>1904</v>
      </c>
      <c r="D606">
        <v>12</v>
      </c>
      <c r="E606" t="s">
        <v>1447</v>
      </c>
      <c r="F606" t="s">
        <v>1908</v>
      </c>
      <c r="G606" t="s">
        <v>1806</v>
      </c>
      <c r="H606" t="s">
        <v>2279</v>
      </c>
      <c r="I606" t="s">
        <v>2279</v>
      </c>
      <c r="J606">
        <v>227718.44</v>
      </c>
      <c r="K606" t="s">
        <v>2279</v>
      </c>
      <c r="L606" t="s">
        <v>2279</v>
      </c>
      <c r="M606" t="s">
        <v>2279</v>
      </c>
      <c r="N606" t="s">
        <v>2279</v>
      </c>
      <c r="O606" s="190" t="str">
        <f>"["&amp;$C606&amp;"]["&amp;$D606&amp;"]["&amp;$F606&amp;"]"</f>
        <v>[S05_ContinuousEmissionsMeasurementDetail][12][ContinuousMeasurementTotalEmissions]</v>
      </c>
    </row>
    <row r="607" spans="1:15" x14ac:dyDescent="0.3">
      <c r="A607" t="s">
        <v>2277</v>
      </c>
      <c r="B607" t="s">
        <v>1902</v>
      </c>
      <c r="C607" t="s">
        <v>1904</v>
      </c>
      <c r="D607">
        <v>1</v>
      </c>
      <c r="E607" t="s">
        <v>1447</v>
      </c>
      <c r="F607" t="s">
        <v>1909</v>
      </c>
      <c r="G607" t="s">
        <v>1759</v>
      </c>
      <c r="H607" t="s">
        <v>2279</v>
      </c>
      <c r="I607" t="s">
        <v>2279</v>
      </c>
      <c r="J607" t="s">
        <v>2279</v>
      </c>
      <c r="K607" t="s">
        <v>2279</v>
      </c>
      <c r="L607" t="s">
        <v>1419</v>
      </c>
      <c r="M607" t="s">
        <v>2279</v>
      </c>
      <c r="N607" t="s">
        <v>2279</v>
      </c>
      <c r="O607" s="190" t="str">
        <f>"["&amp;$C607&amp;"]["&amp;$D607&amp;"]["&amp;$F607&amp;"]"</f>
        <v>[S05_ContinuousEmissionsMeasurementDetail][1][FlueGasContainBiomass]</v>
      </c>
    </row>
    <row r="608" spans="1:15" x14ac:dyDescent="0.3">
      <c r="A608" t="s">
        <v>2277</v>
      </c>
      <c r="B608" t="s">
        <v>1902</v>
      </c>
      <c r="C608" t="s">
        <v>1904</v>
      </c>
      <c r="D608">
        <v>2</v>
      </c>
      <c r="E608" t="s">
        <v>1447</v>
      </c>
      <c r="F608" t="s">
        <v>1909</v>
      </c>
      <c r="G608" t="s">
        <v>1759</v>
      </c>
      <c r="H608" t="s">
        <v>2279</v>
      </c>
      <c r="I608" t="s">
        <v>2279</v>
      </c>
      <c r="J608" t="s">
        <v>2279</v>
      </c>
      <c r="K608" t="s">
        <v>2279</v>
      </c>
      <c r="L608" t="s">
        <v>1419</v>
      </c>
      <c r="M608" t="s">
        <v>2279</v>
      </c>
      <c r="N608" t="s">
        <v>2279</v>
      </c>
      <c r="O608" s="190" t="str">
        <f>"["&amp;$C608&amp;"]["&amp;$D608&amp;"]["&amp;$F608&amp;"]"</f>
        <v>[S05_ContinuousEmissionsMeasurementDetail][2][FlueGasContainBiomass]</v>
      </c>
    </row>
    <row r="609" spans="1:15" x14ac:dyDescent="0.3">
      <c r="A609" t="s">
        <v>2277</v>
      </c>
      <c r="B609" t="s">
        <v>1902</v>
      </c>
      <c r="C609" t="s">
        <v>1904</v>
      </c>
      <c r="D609">
        <v>3</v>
      </c>
      <c r="E609" t="s">
        <v>1447</v>
      </c>
      <c r="F609" t="s">
        <v>1909</v>
      </c>
      <c r="G609" t="s">
        <v>1759</v>
      </c>
      <c r="H609" t="s">
        <v>2279</v>
      </c>
      <c r="I609" t="s">
        <v>2279</v>
      </c>
      <c r="J609" t="s">
        <v>2279</v>
      </c>
      <c r="K609" t="s">
        <v>2279</v>
      </c>
      <c r="L609" t="s">
        <v>1419</v>
      </c>
      <c r="M609" t="s">
        <v>2279</v>
      </c>
      <c r="N609" t="s">
        <v>2279</v>
      </c>
      <c r="O609" s="190" t="str">
        <f>"["&amp;$C609&amp;"]["&amp;$D609&amp;"]["&amp;$F609&amp;"]"</f>
        <v>[S05_ContinuousEmissionsMeasurementDetail][3][FlueGasContainBiomass]</v>
      </c>
    </row>
    <row r="610" spans="1:15" x14ac:dyDescent="0.3">
      <c r="A610" t="s">
        <v>2277</v>
      </c>
      <c r="B610" t="s">
        <v>1902</v>
      </c>
      <c r="C610" t="s">
        <v>1904</v>
      </c>
      <c r="D610">
        <v>4</v>
      </c>
      <c r="E610" t="s">
        <v>1447</v>
      </c>
      <c r="F610" t="s">
        <v>1909</v>
      </c>
      <c r="G610" t="s">
        <v>1759</v>
      </c>
      <c r="H610" t="s">
        <v>2279</v>
      </c>
      <c r="I610" t="s">
        <v>2279</v>
      </c>
      <c r="J610" t="s">
        <v>2279</v>
      </c>
      <c r="K610" t="s">
        <v>2279</v>
      </c>
      <c r="L610" t="s">
        <v>1419</v>
      </c>
      <c r="M610" t="s">
        <v>2279</v>
      </c>
      <c r="N610" t="s">
        <v>2279</v>
      </c>
      <c r="O610" s="190" t="str">
        <f>"["&amp;$C610&amp;"]["&amp;$D610&amp;"]["&amp;$F610&amp;"]"</f>
        <v>[S05_ContinuousEmissionsMeasurementDetail][4][FlueGasContainBiomass]</v>
      </c>
    </row>
    <row r="611" spans="1:15" x14ac:dyDescent="0.3">
      <c r="A611" t="s">
        <v>2277</v>
      </c>
      <c r="B611" t="s">
        <v>1902</v>
      </c>
      <c r="C611" t="s">
        <v>1904</v>
      </c>
      <c r="D611">
        <v>5</v>
      </c>
      <c r="E611" t="s">
        <v>1447</v>
      </c>
      <c r="F611" t="s">
        <v>1909</v>
      </c>
      <c r="G611" t="s">
        <v>1759</v>
      </c>
      <c r="H611" t="s">
        <v>2279</v>
      </c>
      <c r="I611" t="s">
        <v>2279</v>
      </c>
      <c r="J611" t="s">
        <v>2279</v>
      </c>
      <c r="K611" t="s">
        <v>2279</v>
      </c>
      <c r="L611" t="s">
        <v>1419</v>
      </c>
      <c r="M611" t="s">
        <v>2279</v>
      </c>
      <c r="N611" t="s">
        <v>2279</v>
      </c>
      <c r="O611" s="190" t="str">
        <f>"["&amp;$C611&amp;"]["&amp;$D611&amp;"]["&amp;$F611&amp;"]"</f>
        <v>[S05_ContinuousEmissionsMeasurementDetail][5][FlueGasContainBiomass]</v>
      </c>
    </row>
    <row r="612" spans="1:15" x14ac:dyDescent="0.3">
      <c r="A612" t="s">
        <v>2277</v>
      </c>
      <c r="B612" t="s">
        <v>1902</v>
      </c>
      <c r="C612" t="s">
        <v>1904</v>
      </c>
      <c r="D612">
        <v>6</v>
      </c>
      <c r="E612" t="s">
        <v>1447</v>
      </c>
      <c r="F612" t="s">
        <v>1909</v>
      </c>
      <c r="G612" t="s">
        <v>1759</v>
      </c>
      <c r="H612" t="s">
        <v>2279</v>
      </c>
      <c r="I612" t="s">
        <v>2279</v>
      </c>
      <c r="J612" t="s">
        <v>2279</v>
      </c>
      <c r="K612" t="s">
        <v>2279</v>
      </c>
      <c r="L612" t="s">
        <v>1419</v>
      </c>
      <c r="M612" t="s">
        <v>2279</v>
      </c>
      <c r="N612" t="s">
        <v>2279</v>
      </c>
      <c r="O612" s="190" t="str">
        <f>"["&amp;$C612&amp;"]["&amp;$D612&amp;"]["&amp;$F612&amp;"]"</f>
        <v>[S05_ContinuousEmissionsMeasurementDetail][6][FlueGasContainBiomass]</v>
      </c>
    </row>
    <row r="613" spans="1:15" x14ac:dyDescent="0.3">
      <c r="A613" t="s">
        <v>2277</v>
      </c>
      <c r="B613" t="s">
        <v>1902</v>
      </c>
      <c r="C613" t="s">
        <v>1904</v>
      </c>
      <c r="D613">
        <v>7</v>
      </c>
      <c r="E613" t="s">
        <v>1447</v>
      </c>
      <c r="F613" t="s">
        <v>1909</v>
      </c>
      <c r="G613" t="s">
        <v>1759</v>
      </c>
      <c r="H613" t="s">
        <v>2279</v>
      </c>
      <c r="I613" t="s">
        <v>2279</v>
      </c>
      <c r="J613" t="s">
        <v>2279</v>
      </c>
      <c r="K613" t="s">
        <v>2279</v>
      </c>
      <c r="L613" t="s">
        <v>1419</v>
      </c>
      <c r="M613" t="s">
        <v>2279</v>
      </c>
      <c r="N613" t="s">
        <v>2279</v>
      </c>
      <c r="O613" s="190" t="str">
        <f>"["&amp;$C613&amp;"]["&amp;$D613&amp;"]["&amp;$F613&amp;"]"</f>
        <v>[S05_ContinuousEmissionsMeasurementDetail][7][FlueGasContainBiomass]</v>
      </c>
    </row>
    <row r="614" spans="1:15" x14ac:dyDescent="0.3">
      <c r="A614" t="s">
        <v>2277</v>
      </c>
      <c r="B614" t="s">
        <v>1902</v>
      </c>
      <c r="C614" t="s">
        <v>1904</v>
      </c>
      <c r="D614">
        <v>8</v>
      </c>
      <c r="E614" t="s">
        <v>1447</v>
      </c>
      <c r="F614" t="s">
        <v>1909</v>
      </c>
      <c r="G614" t="s">
        <v>1759</v>
      </c>
      <c r="H614" t="s">
        <v>2279</v>
      </c>
      <c r="I614" t="s">
        <v>2279</v>
      </c>
      <c r="J614" t="s">
        <v>2279</v>
      </c>
      <c r="K614" t="s">
        <v>2279</v>
      </c>
      <c r="L614" t="s">
        <v>1419</v>
      </c>
      <c r="M614" t="s">
        <v>2279</v>
      </c>
      <c r="N614" t="s">
        <v>2279</v>
      </c>
      <c r="O614" s="190" t="str">
        <f>"["&amp;$C614&amp;"]["&amp;$D614&amp;"]["&amp;$F614&amp;"]"</f>
        <v>[S05_ContinuousEmissionsMeasurementDetail][8][FlueGasContainBiomass]</v>
      </c>
    </row>
    <row r="615" spans="1:15" x14ac:dyDescent="0.3">
      <c r="A615" t="s">
        <v>2277</v>
      </c>
      <c r="B615" t="s">
        <v>1902</v>
      </c>
      <c r="C615" t="s">
        <v>1904</v>
      </c>
      <c r="D615">
        <v>9</v>
      </c>
      <c r="E615" t="s">
        <v>1447</v>
      </c>
      <c r="F615" t="s">
        <v>1909</v>
      </c>
      <c r="G615" t="s">
        <v>1759</v>
      </c>
      <c r="H615" t="s">
        <v>2279</v>
      </c>
      <c r="I615" t="s">
        <v>2279</v>
      </c>
      <c r="J615" t="s">
        <v>2279</v>
      </c>
      <c r="K615" t="s">
        <v>2279</v>
      </c>
      <c r="L615" t="s">
        <v>1419</v>
      </c>
      <c r="M615" t="s">
        <v>2279</v>
      </c>
      <c r="N615" t="s">
        <v>2279</v>
      </c>
      <c r="O615" s="190" t="str">
        <f>"["&amp;$C615&amp;"]["&amp;$D615&amp;"]["&amp;$F615&amp;"]"</f>
        <v>[S05_ContinuousEmissionsMeasurementDetail][9][FlueGasContainBiomass]</v>
      </c>
    </row>
    <row r="616" spans="1:15" x14ac:dyDescent="0.3">
      <c r="A616" t="s">
        <v>2277</v>
      </c>
      <c r="B616" t="s">
        <v>1902</v>
      </c>
      <c r="C616" t="s">
        <v>1904</v>
      </c>
      <c r="D616">
        <v>10</v>
      </c>
      <c r="E616" t="s">
        <v>1447</v>
      </c>
      <c r="F616" t="s">
        <v>1909</v>
      </c>
      <c r="G616" t="s">
        <v>1759</v>
      </c>
      <c r="H616" t="s">
        <v>2279</v>
      </c>
      <c r="I616" t="s">
        <v>2279</v>
      </c>
      <c r="J616" t="s">
        <v>2279</v>
      </c>
      <c r="K616" t="s">
        <v>2279</v>
      </c>
      <c r="L616" t="s">
        <v>1419</v>
      </c>
      <c r="M616" t="s">
        <v>2279</v>
      </c>
      <c r="N616" t="s">
        <v>2279</v>
      </c>
      <c r="O616" s="190" t="str">
        <f>"["&amp;$C616&amp;"]["&amp;$D616&amp;"]["&amp;$F616&amp;"]"</f>
        <v>[S05_ContinuousEmissionsMeasurementDetail][10][FlueGasContainBiomass]</v>
      </c>
    </row>
    <row r="617" spans="1:15" x14ac:dyDescent="0.3">
      <c r="A617" t="s">
        <v>2277</v>
      </c>
      <c r="B617" t="s">
        <v>1902</v>
      </c>
      <c r="C617" t="s">
        <v>1904</v>
      </c>
      <c r="D617">
        <v>11</v>
      </c>
      <c r="E617" t="s">
        <v>1447</v>
      </c>
      <c r="F617" t="s">
        <v>1909</v>
      </c>
      <c r="G617" t="s">
        <v>1759</v>
      </c>
      <c r="H617" t="s">
        <v>2279</v>
      </c>
      <c r="I617" t="s">
        <v>2279</v>
      </c>
      <c r="J617" t="s">
        <v>2279</v>
      </c>
      <c r="K617" t="s">
        <v>2279</v>
      </c>
      <c r="L617" t="s">
        <v>1419</v>
      </c>
      <c r="M617" t="s">
        <v>2279</v>
      </c>
      <c r="N617" t="s">
        <v>2279</v>
      </c>
      <c r="O617" s="190" t="str">
        <f>"["&amp;$C617&amp;"]["&amp;$D617&amp;"]["&amp;$F617&amp;"]"</f>
        <v>[S05_ContinuousEmissionsMeasurementDetail][11][FlueGasContainBiomass]</v>
      </c>
    </row>
    <row r="618" spans="1:15" x14ac:dyDescent="0.3">
      <c r="A618" t="s">
        <v>2277</v>
      </c>
      <c r="B618" t="s">
        <v>1902</v>
      </c>
      <c r="C618" t="s">
        <v>1904</v>
      </c>
      <c r="D618">
        <v>12</v>
      </c>
      <c r="E618" t="s">
        <v>1447</v>
      </c>
      <c r="F618" t="s">
        <v>1909</v>
      </c>
      <c r="G618" t="s">
        <v>1759</v>
      </c>
      <c r="H618" t="s">
        <v>2279</v>
      </c>
      <c r="I618" t="s">
        <v>2279</v>
      </c>
      <c r="J618" t="s">
        <v>2279</v>
      </c>
      <c r="K618" t="s">
        <v>2279</v>
      </c>
      <c r="L618" t="s">
        <v>1419</v>
      </c>
      <c r="M618" t="s">
        <v>2279</v>
      </c>
      <c r="N618" t="s">
        <v>2279</v>
      </c>
      <c r="O618" s="190" t="str">
        <f>"["&amp;$C618&amp;"]["&amp;$D618&amp;"]["&amp;$F618&amp;"]"</f>
        <v>[S05_ContinuousEmissionsMeasurementDetail][12][FlueGasContainBiomass]</v>
      </c>
    </row>
    <row r="619" spans="1:15" x14ac:dyDescent="0.3">
      <c r="A619" t="s">
        <v>2277</v>
      </c>
      <c r="B619" t="s">
        <v>1910</v>
      </c>
      <c r="C619" t="s">
        <v>1911</v>
      </c>
      <c r="D619">
        <v>0</v>
      </c>
      <c r="E619" t="s">
        <v>1447</v>
      </c>
      <c r="F619" t="s">
        <v>1911</v>
      </c>
      <c r="G619" t="s">
        <v>1741</v>
      </c>
      <c r="H619" t="s">
        <v>2367</v>
      </c>
      <c r="I619" t="s">
        <v>2279</v>
      </c>
      <c r="J619" t="s">
        <v>2279</v>
      </c>
      <c r="K619" t="s">
        <v>2279</v>
      </c>
      <c r="L619" t="s">
        <v>2279</v>
      </c>
      <c r="M619" t="s">
        <v>2279</v>
      </c>
      <c r="N619" t="s">
        <v>2279</v>
      </c>
      <c r="O619" s="190" t="str">
        <f>"["&amp;$C619&amp;"]["&amp;$D619&amp;"]["&amp;$F619&amp;"]"</f>
        <v>[SustainabilityComplianceDemonstrate][0][SustainabilityComplianceDemonstrate]</v>
      </c>
    </row>
    <row r="620" spans="1:15" x14ac:dyDescent="0.3">
      <c r="A620" t="s">
        <v>2277</v>
      </c>
      <c r="B620" t="s">
        <v>1910</v>
      </c>
      <c r="C620" t="s">
        <v>1912</v>
      </c>
      <c r="D620">
        <v>1</v>
      </c>
      <c r="E620" t="s">
        <v>1447</v>
      </c>
      <c r="F620" t="s">
        <v>1888</v>
      </c>
      <c r="G620" t="s">
        <v>1737</v>
      </c>
      <c r="H620" t="s">
        <v>2279</v>
      </c>
      <c r="I620" t="s">
        <v>2279</v>
      </c>
      <c r="J620" t="s">
        <v>2279</v>
      </c>
      <c r="K620" t="s">
        <v>2279</v>
      </c>
      <c r="L620" t="s">
        <v>1420</v>
      </c>
      <c r="M620" t="s">
        <v>2279</v>
      </c>
      <c r="N620" t="s">
        <v>2279</v>
      </c>
      <c r="O620" s="190" t="str">
        <f>"["&amp;$C620&amp;"]["&amp;$D620&amp;"]["&amp;$F620&amp;"]"</f>
        <v>[S05_BiomassInstallations][1][Annex1Activity]</v>
      </c>
    </row>
    <row r="621" spans="1:15" x14ac:dyDescent="0.3">
      <c r="A621" t="s">
        <v>2277</v>
      </c>
      <c r="B621" t="s">
        <v>1910</v>
      </c>
      <c r="C621" t="s">
        <v>1912</v>
      </c>
      <c r="D621">
        <v>2</v>
      </c>
      <c r="E621" t="s">
        <v>1447</v>
      </c>
      <c r="F621" t="s">
        <v>1888</v>
      </c>
      <c r="G621" t="s">
        <v>1737</v>
      </c>
      <c r="H621" t="s">
        <v>2279</v>
      </c>
      <c r="I621" t="s">
        <v>2279</v>
      </c>
      <c r="J621" t="s">
        <v>2279</v>
      </c>
      <c r="K621" t="s">
        <v>2279</v>
      </c>
      <c r="L621" t="s">
        <v>1420</v>
      </c>
      <c r="M621" t="s">
        <v>2279</v>
      </c>
      <c r="N621" t="s">
        <v>2279</v>
      </c>
      <c r="O621" s="190" t="str">
        <f>"["&amp;$C621&amp;"]["&amp;$D621&amp;"]["&amp;$F621&amp;"]"</f>
        <v>[S05_BiomassInstallations][2][Annex1Activity]</v>
      </c>
    </row>
    <row r="622" spans="1:15" x14ac:dyDescent="0.3">
      <c r="A622" t="s">
        <v>2277</v>
      </c>
      <c r="B622" t="s">
        <v>1910</v>
      </c>
      <c r="C622" t="s">
        <v>1912</v>
      </c>
      <c r="D622">
        <v>3</v>
      </c>
      <c r="E622" t="s">
        <v>1447</v>
      </c>
      <c r="F622" t="s">
        <v>1888</v>
      </c>
      <c r="G622" t="s">
        <v>1737</v>
      </c>
      <c r="H622" t="s">
        <v>2279</v>
      </c>
      <c r="I622" t="s">
        <v>2279</v>
      </c>
      <c r="J622" t="s">
        <v>2279</v>
      </c>
      <c r="K622" t="s">
        <v>2279</v>
      </c>
      <c r="L622" t="s">
        <v>1420</v>
      </c>
      <c r="M622" t="s">
        <v>2279</v>
      </c>
      <c r="N622" t="s">
        <v>2279</v>
      </c>
      <c r="O622" s="190" t="str">
        <f>"["&amp;$C622&amp;"]["&amp;$D622&amp;"]["&amp;$F622&amp;"]"</f>
        <v>[S05_BiomassInstallations][3][Annex1Activity]</v>
      </c>
    </row>
    <row r="623" spans="1:15" x14ac:dyDescent="0.3">
      <c r="A623" t="s">
        <v>2277</v>
      </c>
      <c r="B623" t="s">
        <v>1910</v>
      </c>
      <c r="C623" t="s">
        <v>1912</v>
      </c>
      <c r="D623">
        <v>4</v>
      </c>
      <c r="E623" t="s">
        <v>1447</v>
      </c>
      <c r="F623" t="s">
        <v>1888</v>
      </c>
      <c r="G623" t="s">
        <v>1737</v>
      </c>
      <c r="H623" t="s">
        <v>2279</v>
      </c>
      <c r="I623" t="s">
        <v>2279</v>
      </c>
      <c r="J623" t="s">
        <v>2279</v>
      </c>
      <c r="K623" t="s">
        <v>2279</v>
      </c>
      <c r="L623" t="s">
        <v>1577</v>
      </c>
      <c r="M623" t="s">
        <v>2279</v>
      </c>
      <c r="N623" t="s">
        <v>2279</v>
      </c>
      <c r="O623" s="190" t="str">
        <f>"["&amp;$C623&amp;"]["&amp;$D623&amp;"]["&amp;$F623&amp;"]"</f>
        <v>[S05_BiomassInstallations][4][Annex1Activity]</v>
      </c>
    </row>
    <row r="624" spans="1:15" x14ac:dyDescent="0.3">
      <c r="A624" t="s">
        <v>2277</v>
      </c>
      <c r="B624" t="s">
        <v>1910</v>
      </c>
      <c r="C624" t="s">
        <v>1912</v>
      </c>
      <c r="D624">
        <v>5</v>
      </c>
      <c r="E624" t="s">
        <v>1447</v>
      </c>
      <c r="F624" t="s">
        <v>1888</v>
      </c>
      <c r="G624" t="s">
        <v>1737</v>
      </c>
      <c r="H624" t="s">
        <v>2279</v>
      </c>
      <c r="I624" t="s">
        <v>2279</v>
      </c>
      <c r="J624" t="s">
        <v>2279</v>
      </c>
      <c r="K624" t="s">
        <v>2279</v>
      </c>
      <c r="L624" t="s">
        <v>1577</v>
      </c>
      <c r="M624" t="s">
        <v>2279</v>
      </c>
      <c r="N624" t="s">
        <v>2279</v>
      </c>
      <c r="O624" s="190" t="str">
        <f>"["&amp;$C624&amp;"]["&amp;$D624&amp;"]["&amp;$F624&amp;"]"</f>
        <v>[S05_BiomassInstallations][5][Annex1Activity]</v>
      </c>
    </row>
    <row r="625" spans="1:15" x14ac:dyDescent="0.3">
      <c r="A625" t="s">
        <v>2277</v>
      </c>
      <c r="B625" t="s">
        <v>1910</v>
      </c>
      <c r="C625" t="s">
        <v>1912</v>
      </c>
      <c r="D625">
        <v>6</v>
      </c>
      <c r="E625" t="s">
        <v>1447</v>
      </c>
      <c r="F625" t="s">
        <v>1888</v>
      </c>
      <c r="G625" t="s">
        <v>1737</v>
      </c>
      <c r="H625" t="s">
        <v>2279</v>
      </c>
      <c r="I625" t="s">
        <v>2279</v>
      </c>
      <c r="J625" t="s">
        <v>2279</v>
      </c>
      <c r="K625" t="s">
        <v>2279</v>
      </c>
      <c r="L625" t="s">
        <v>1592</v>
      </c>
      <c r="M625" t="s">
        <v>2279</v>
      </c>
      <c r="N625" t="s">
        <v>2279</v>
      </c>
      <c r="O625" s="190" t="str">
        <f>"["&amp;$C625&amp;"]["&amp;$D625&amp;"]["&amp;$F625&amp;"]"</f>
        <v>[S05_BiomassInstallations][6][Annex1Activity]</v>
      </c>
    </row>
    <row r="626" spans="1:15" x14ac:dyDescent="0.3">
      <c r="A626" t="s">
        <v>2277</v>
      </c>
      <c r="B626" t="s">
        <v>1910</v>
      </c>
      <c r="C626" t="s">
        <v>1912</v>
      </c>
      <c r="D626">
        <v>7</v>
      </c>
      <c r="E626" t="s">
        <v>1447</v>
      </c>
      <c r="F626" t="s">
        <v>1888</v>
      </c>
      <c r="G626" t="s">
        <v>1737</v>
      </c>
      <c r="H626" t="s">
        <v>2279</v>
      </c>
      <c r="I626" t="s">
        <v>2279</v>
      </c>
      <c r="J626" t="s">
        <v>2279</v>
      </c>
      <c r="K626" t="s">
        <v>2279</v>
      </c>
      <c r="L626" t="s">
        <v>1562</v>
      </c>
      <c r="M626" t="s">
        <v>2279</v>
      </c>
      <c r="N626" t="s">
        <v>2279</v>
      </c>
      <c r="O626" s="190" t="str">
        <f>"["&amp;$C626&amp;"]["&amp;$D626&amp;"]["&amp;$F626&amp;"]"</f>
        <v>[S05_BiomassInstallations][7][Annex1Activity]</v>
      </c>
    </row>
    <row r="627" spans="1:15" x14ac:dyDescent="0.3">
      <c r="A627" t="s">
        <v>2277</v>
      </c>
      <c r="B627" t="s">
        <v>1910</v>
      </c>
      <c r="C627" t="s">
        <v>1912</v>
      </c>
      <c r="D627">
        <v>8</v>
      </c>
      <c r="E627" t="s">
        <v>1447</v>
      </c>
      <c r="F627" t="s">
        <v>1888</v>
      </c>
      <c r="G627" t="s">
        <v>1737</v>
      </c>
      <c r="H627" t="s">
        <v>2279</v>
      </c>
      <c r="I627" t="s">
        <v>2279</v>
      </c>
      <c r="J627" t="s">
        <v>2279</v>
      </c>
      <c r="K627" t="s">
        <v>2279</v>
      </c>
      <c r="L627" t="s">
        <v>1582</v>
      </c>
      <c r="M627" t="s">
        <v>2279</v>
      </c>
      <c r="N627" t="s">
        <v>2279</v>
      </c>
      <c r="O627" s="190" t="str">
        <f>"["&amp;$C627&amp;"]["&amp;$D627&amp;"]["&amp;$F627&amp;"]"</f>
        <v>[S05_BiomassInstallations][8][Annex1Activity]</v>
      </c>
    </row>
    <row r="628" spans="1:15" x14ac:dyDescent="0.3">
      <c r="A628" t="s">
        <v>2277</v>
      </c>
      <c r="B628" t="s">
        <v>1910</v>
      </c>
      <c r="C628" t="s">
        <v>1912</v>
      </c>
      <c r="D628">
        <v>1</v>
      </c>
      <c r="E628" t="s">
        <v>1447</v>
      </c>
      <c r="F628" t="s">
        <v>1913</v>
      </c>
      <c r="G628" t="s">
        <v>1737</v>
      </c>
      <c r="H628" t="s">
        <v>2279</v>
      </c>
      <c r="I628" t="s">
        <v>2279</v>
      </c>
      <c r="J628" t="s">
        <v>2279</v>
      </c>
      <c r="K628" t="s">
        <v>2279</v>
      </c>
      <c r="L628" t="s">
        <v>1432</v>
      </c>
      <c r="M628" t="s">
        <v>2279</v>
      </c>
      <c r="N628" t="s">
        <v>2279</v>
      </c>
      <c r="O628" s="190" t="str">
        <f>"["&amp;$C628&amp;"]["&amp;$D628&amp;"]["&amp;$F628&amp;"]"</f>
        <v>[S05_BiomassInstallations][1][BiomassInstallationCategory]</v>
      </c>
    </row>
    <row r="629" spans="1:15" x14ac:dyDescent="0.3">
      <c r="A629" t="s">
        <v>2277</v>
      </c>
      <c r="B629" t="s">
        <v>1910</v>
      </c>
      <c r="C629" t="s">
        <v>1912</v>
      </c>
      <c r="D629">
        <v>2</v>
      </c>
      <c r="E629" t="s">
        <v>1447</v>
      </c>
      <c r="F629" t="s">
        <v>1913</v>
      </c>
      <c r="G629" t="s">
        <v>1737</v>
      </c>
      <c r="H629" t="s">
        <v>2279</v>
      </c>
      <c r="I629" t="s">
        <v>2279</v>
      </c>
      <c r="J629" t="s">
        <v>2279</v>
      </c>
      <c r="K629" t="s">
        <v>2279</v>
      </c>
      <c r="L629" t="s">
        <v>1460</v>
      </c>
      <c r="M629" t="s">
        <v>2279</v>
      </c>
      <c r="N629" t="s">
        <v>2279</v>
      </c>
      <c r="O629" s="190" t="str">
        <f>"["&amp;$C629&amp;"]["&amp;$D629&amp;"]["&amp;$F629&amp;"]"</f>
        <v>[S05_BiomassInstallations][2][BiomassInstallationCategory]</v>
      </c>
    </row>
    <row r="630" spans="1:15" x14ac:dyDescent="0.3">
      <c r="A630" t="s">
        <v>2277</v>
      </c>
      <c r="B630" t="s">
        <v>1910</v>
      </c>
      <c r="C630" t="s">
        <v>1912</v>
      </c>
      <c r="D630">
        <v>3</v>
      </c>
      <c r="E630" t="s">
        <v>1447</v>
      </c>
      <c r="F630" t="s">
        <v>1913</v>
      </c>
      <c r="G630" t="s">
        <v>1737</v>
      </c>
      <c r="H630" t="s">
        <v>2279</v>
      </c>
      <c r="I630" t="s">
        <v>2279</v>
      </c>
      <c r="J630" t="s">
        <v>2279</v>
      </c>
      <c r="K630" t="s">
        <v>2279</v>
      </c>
      <c r="L630" t="s">
        <v>1487</v>
      </c>
      <c r="M630" t="s">
        <v>2279</v>
      </c>
      <c r="N630" t="s">
        <v>2279</v>
      </c>
      <c r="O630" s="190" t="str">
        <f>"["&amp;$C630&amp;"]["&amp;$D630&amp;"]["&amp;$F630&amp;"]"</f>
        <v>[S05_BiomassInstallations][3][BiomassInstallationCategory]</v>
      </c>
    </row>
    <row r="631" spans="1:15" x14ac:dyDescent="0.3">
      <c r="A631" t="s">
        <v>2277</v>
      </c>
      <c r="B631" t="s">
        <v>1910</v>
      </c>
      <c r="C631" t="s">
        <v>1912</v>
      </c>
      <c r="D631">
        <v>4</v>
      </c>
      <c r="E631" t="s">
        <v>1447</v>
      </c>
      <c r="F631" t="s">
        <v>1913</v>
      </c>
      <c r="G631" t="s">
        <v>1737</v>
      </c>
      <c r="H631" t="s">
        <v>2279</v>
      </c>
      <c r="I631" t="s">
        <v>2279</v>
      </c>
      <c r="J631" t="s">
        <v>2279</v>
      </c>
      <c r="K631" t="s">
        <v>2279</v>
      </c>
      <c r="L631" t="s">
        <v>1432</v>
      </c>
      <c r="M631" t="s">
        <v>2279</v>
      </c>
      <c r="N631" t="s">
        <v>2279</v>
      </c>
      <c r="O631" s="190" t="str">
        <f>"["&amp;$C631&amp;"]["&amp;$D631&amp;"]["&amp;$F631&amp;"]"</f>
        <v>[S05_BiomassInstallations][4][BiomassInstallationCategory]</v>
      </c>
    </row>
    <row r="632" spans="1:15" x14ac:dyDescent="0.3">
      <c r="A632" t="s">
        <v>2277</v>
      </c>
      <c r="B632" t="s">
        <v>1910</v>
      </c>
      <c r="C632" t="s">
        <v>1912</v>
      </c>
      <c r="D632">
        <v>5</v>
      </c>
      <c r="E632" t="s">
        <v>1447</v>
      </c>
      <c r="F632" t="s">
        <v>1913</v>
      </c>
      <c r="G632" t="s">
        <v>1737</v>
      </c>
      <c r="H632" t="s">
        <v>2279</v>
      </c>
      <c r="I632" t="s">
        <v>2279</v>
      </c>
      <c r="J632" t="s">
        <v>2279</v>
      </c>
      <c r="K632" t="s">
        <v>2279</v>
      </c>
      <c r="L632" t="s">
        <v>1460</v>
      </c>
      <c r="M632" t="s">
        <v>2279</v>
      </c>
      <c r="N632" t="s">
        <v>2279</v>
      </c>
      <c r="O632" s="190" t="str">
        <f>"["&amp;$C632&amp;"]["&amp;$D632&amp;"]["&amp;$F632&amp;"]"</f>
        <v>[S05_BiomassInstallations][5][BiomassInstallationCategory]</v>
      </c>
    </row>
    <row r="633" spans="1:15" x14ac:dyDescent="0.3">
      <c r="A633" t="s">
        <v>2277</v>
      </c>
      <c r="B633" t="s">
        <v>1910</v>
      </c>
      <c r="C633" t="s">
        <v>1912</v>
      </c>
      <c r="D633">
        <v>6</v>
      </c>
      <c r="E633" t="s">
        <v>1447</v>
      </c>
      <c r="F633" t="s">
        <v>1913</v>
      </c>
      <c r="G633" t="s">
        <v>1737</v>
      </c>
      <c r="H633" t="s">
        <v>2279</v>
      </c>
      <c r="I633" t="s">
        <v>2279</v>
      </c>
      <c r="J633" t="s">
        <v>2279</v>
      </c>
      <c r="K633" t="s">
        <v>2279</v>
      </c>
      <c r="L633" t="s">
        <v>1432</v>
      </c>
      <c r="M633" t="s">
        <v>2279</v>
      </c>
      <c r="N633" t="s">
        <v>2279</v>
      </c>
      <c r="O633" s="190" t="str">
        <f>"["&amp;$C633&amp;"]["&amp;$D633&amp;"]["&amp;$F633&amp;"]"</f>
        <v>[S05_BiomassInstallations][6][BiomassInstallationCategory]</v>
      </c>
    </row>
    <row r="634" spans="1:15" x14ac:dyDescent="0.3">
      <c r="A634" t="s">
        <v>2277</v>
      </c>
      <c r="B634" t="s">
        <v>1910</v>
      </c>
      <c r="C634" t="s">
        <v>1912</v>
      </c>
      <c r="D634">
        <v>7</v>
      </c>
      <c r="E634" t="s">
        <v>1447</v>
      </c>
      <c r="F634" t="s">
        <v>1913</v>
      </c>
      <c r="G634" t="s">
        <v>1737</v>
      </c>
      <c r="H634" t="s">
        <v>2279</v>
      </c>
      <c r="I634" t="s">
        <v>2279</v>
      </c>
      <c r="J634" t="s">
        <v>2279</v>
      </c>
      <c r="K634" t="s">
        <v>2279</v>
      </c>
      <c r="L634" t="s">
        <v>1487</v>
      </c>
      <c r="M634" t="s">
        <v>2279</v>
      </c>
      <c r="N634" t="s">
        <v>2279</v>
      </c>
      <c r="O634" s="190" t="str">
        <f>"["&amp;$C634&amp;"]["&amp;$D634&amp;"]["&amp;$F634&amp;"]"</f>
        <v>[S05_BiomassInstallations][7][BiomassInstallationCategory]</v>
      </c>
    </row>
    <row r="635" spans="1:15" x14ac:dyDescent="0.3">
      <c r="A635" t="s">
        <v>2277</v>
      </c>
      <c r="B635" t="s">
        <v>1910</v>
      </c>
      <c r="C635" t="s">
        <v>1912</v>
      </c>
      <c r="D635">
        <v>8</v>
      </c>
      <c r="E635" t="s">
        <v>1447</v>
      </c>
      <c r="F635" t="s">
        <v>1913</v>
      </c>
      <c r="G635" t="s">
        <v>1737</v>
      </c>
      <c r="H635" t="s">
        <v>2279</v>
      </c>
      <c r="I635" t="s">
        <v>2279</v>
      </c>
      <c r="J635" t="s">
        <v>2279</v>
      </c>
      <c r="K635" t="s">
        <v>2279</v>
      </c>
      <c r="L635" t="s">
        <v>1432</v>
      </c>
      <c r="M635" t="s">
        <v>2279</v>
      </c>
      <c r="N635" t="s">
        <v>2279</v>
      </c>
      <c r="O635" s="190" t="str">
        <f>"["&amp;$C635&amp;"]["&amp;$D635&amp;"]["&amp;$F635&amp;"]"</f>
        <v>[S05_BiomassInstallations][8][BiomassInstallationCategory]</v>
      </c>
    </row>
    <row r="636" spans="1:15" x14ac:dyDescent="0.3">
      <c r="A636" t="s">
        <v>2277</v>
      </c>
      <c r="B636" t="s">
        <v>1910</v>
      </c>
      <c r="C636" t="s">
        <v>1912</v>
      </c>
      <c r="D636">
        <v>1</v>
      </c>
      <c r="E636" t="s">
        <v>1447</v>
      </c>
      <c r="F636" t="s">
        <v>1914</v>
      </c>
      <c r="G636" t="s">
        <v>1748</v>
      </c>
      <c r="H636" t="s">
        <v>2279</v>
      </c>
      <c r="I636">
        <v>49</v>
      </c>
      <c r="J636" t="s">
        <v>2279</v>
      </c>
      <c r="K636" t="s">
        <v>2279</v>
      </c>
      <c r="L636" t="s">
        <v>2279</v>
      </c>
      <c r="M636" t="s">
        <v>2279</v>
      </c>
      <c r="N636" t="s">
        <v>2279</v>
      </c>
      <c r="O636" s="190" t="str">
        <f>"["&amp;$C636&amp;"]["&amp;$D636&amp;"]["&amp;$F636&amp;"]"</f>
        <v>[S05_BiomassInstallations][1][NumberUsingBiomass]</v>
      </c>
    </row>
    <row r="637" spans="1:15" x14ac:dyDescent="0.3">
      <c r="A637" t="s">
        <v>2277</v>
      </c>
      <c r="B637" t="s">
        <v>1910</v>
      </c>
      <c r="C637" t="s">
        <v>1912</v>
      </c>
      <c r="D637">
        <v>2</v>
      </c>
      <c r="E637" t="s">
        <v>1447</v>
      </c>
      <c r="F637" t="s">
        <v>1914</v>
      </c>
      <c r="G637" t="s">
        <v>1748</v>
      </c>
      <c r="H637" t="s">
        <v>2279</v>
      </c>
      <c r="I637">
        <v>18</v>
      </c>
      <c r="J637" t="s">
        <v>2279</v>
      </c>
      <c r="K637" t="s">
        <v>2279</v>
      </c>
      <c r="L637" t="s">
        <v>2279</v>
      </c>
      <c r="M637" t="s">
        <v>2279</v>
      </c>
      <c r="N637" t="s">
        <v>2279</v>
      </c>
      <c r="O637" s="190" t="str">
        <f>"["&amp;$C637&amp;"]["&amp;$D637&amp;"]["&amp;$F637&amp;"]"</f>
        <v>[S05_BiomassInstallations][2][NumberUsingBiomass]</v>
      </c>
    </row>
    <row r="638" spans="1:15" x14ac:dyDescent="0.3">
      <c r="A638" t="s">
        <v>2277</v>
      </c>
      <c r="B638" t="s">
        <v>1910</v>
      </c>
      <c r="C638" t="s">
        <v>1912</v>
      </c>
      <c r="D638">
        <v>3</v>
      </c>
      <c r="E638" t="s">
        <v>1447</v>
      </c>
      <c r="F638" t="s">
        <v>1914</v>
      </c>
      <c r="G638" t="s">
        <v>1748</v>
      </c>
      <c r="H638" t="s">
        <v>2279</v>
      </c>
      <c r="I638">
        <v>2</v>
      </c>
      <c r="J638" t="s">
        <v>2279</v>
      </c>
      <c r="K638" t="s">
        <v>2279</v>
      </c>
      <c r="L638" t="s">
        <v>2279</v>
      </c>
      <c r="M638" t="s">
        <v>2279</v>
      </c>
      <c r="N638" t="s">
        <v>2279</v>
      </c>
      <c r="O638" s="190" t="str">
        <f>"["&amp;$C638&amp;"]["&amp;$D638&amp;"]["&amp;$F638&amp;"]"</f>
        <v>[S05_BiomassInstallations][3][NumberUsingBiomass]</v>
      </c>
    </row>
    <row r="639" spans="1:15" x14ac:dyDescent="0.3">
      <c r="A639" t="s">
        <v>2277</v>
      </c>
      <c r="B639" t="s">
        <v>1910</v>
      </c>
      <c r="C639" t="s">
        <v>1912</v>
      </c>
      <c r="D639">
        <v>4</v>
      </c>
      <c r="E639" t="s">
        <v>1447</v>
      </c>
      <c r="F639" t="s">
        <v>1914</v>
      </c>
      <c r="G639" t="s">
        <v>1748</v>
      </c>
      <c r="H639" t="s">
        <v>2279</v>
      </c>
      <c r="I639">
        <v>12</v>
      </c>
      <c r="J639" t="s">
        <v>2279</v>
      </c>
      <c r="K639" t="s">
        <v>2279</v>
      </c>
      <c r="L639" t="s">
        <v>2279</v>
      </c>
      <c r="M639" t="s">
        <v>2279</v>
      </c>
      <c r="N639" t="s">
        <v>2279</v>
      </c>
      <c r="O639" s="190" t="str">
        <f>"["&amp;$C639&amp;"]["&amp;$D639&amp;"]["&amp;$F639&amp;"]"</f>
        <v>[S05_BiomassInstallations][4][NumberUsingBiomass]</v>
      </c>
    </row>
    <row r="640" spans="1:15" x14ac:dyDescent="0.3">
      <c r="A640" t="s">
        <v>2277</v>
      </c>
      <c r="B640" t="s">
        <v>1910</v>
      </c>
      <c r="C640" t="s">
        <v>1912</v>
      </c>
      <c r="D640">
        <v>5</v>
      </c>
      <c r="E640" t="s">
        <v>1447</v>
      </c>
      <c r="F640" t="s">
        <v>1914</v>
      </c>
      <c r="G640" t="s">
        <v>1748</v>
      </c>
      <c r="H640" t="s">
        <v>2279</v>
      </c>
      <c r="I640">
        <v>1</v>
      </c>
      <c r="J640" t="s">
        <v>2279</v>
      </c>
      <c r="K640" t="s">
        <v>2279</v>
      </c>
      <c r="L640" t="s">
        <v>2279</v>
      </c>
      <c r="M640" t="s">
        <v>2279</v>
      </c>
      <c r="N640" t="s">
        <v>2279</v>
      </c>
      <c r="O640" s="190" t="str">
        <f>"["&amp;$C640&amp;"]["&amp;$D640&amp;"]["&amp;$F640&amp;"]"</f>
        <v>[S05_BiomassInstallations][5][NumberUsingBiomass]</v>
      </c>
    </row>
    <row r="641" spans="1:15" x14ac:dyDescent="0.3">
      <c r="A641" t="s">
        <v>2277</v>
      </c>
      <c r="B641" t="s">
        <v>1910</v>
      </c>
      <c r="C641" t="s">
        <v>1912</v>
      </c>
      <c r="D641">
        <v>6</v>
      </c>
      <c r="E641" t="s">
        <v>1447</v>
      </c>
      <c r="F641" t="s">
        <v>1914</v>
      </c>
      <c r="G641" t="s">
        <v>1748</v>
      </c>
      <c r="H641" t="s">
        <v>2279</v>
      </c>
      <c r="I641">
        <v>1</v>
      </c>
      <c r="J641" t="s">
        <v>2279</v>
      </c>
      <c r="K641" t="s">
        <v>2279</v>
      </c>
      <c r="L641" t="s">
        <v>2279</v>
      </c>
      <c r="M641" t="s">
        <v>2279</v>
      </c>
      <c r="N641" t="s">
        <v>2279</v>
      </c>
      <c r="O641" s="190" t="str">
        <f>"["&amp;$C641&amp;"]["&amp;$D641&amp;"]["&amp;$F641&amp;"]"</f>
        <v>[S05_BiomassInstallations][6][NumberUsingBiomass]</v>
      </c>
    </row>
    <row r="642" spans="1:15" x14ac:dyDescent="0.3">
      <c r="A642" t="s">
        <v>2277</v>
      </c>
      <c r="B642" t="s">
        <v>1910</v>
      </c>
      <c r="C642" t="s">
        <v>1912</v>
      </c>
      <c r="D642">
        <v>7</v>
      </c>
      <c r="E642" t="s">
        <v>1447</v>
      </c>
      <c r="F642" t="s">
        <v>1914</v>
      </c>
      <c r="G642" t="s">
        <v>1748</v>
      </c>
      <c r="H642" t="s">
        <v>2279</v>
      </c>
      <c r="I642">
        <v>1</v>
      </c>
      <c r="J642" t="s">
        <v>2279</v>
      </c>
      <c r="K642" t="s">
        <v>2279</v>
      </c>
      <c r="L642" t="s">
        <v>2279</v>
      </c>
      <c r="M642" t="s">
        <v>2279</v>
      </c>
      <c r="N642" t="s">
        <v>2279</v>
      </c>
      <c r="O642" s="190" t="str">
        <f>"["&amp;$C642&amp;"]["&amp;$D642&amp;"]["&amp;$F642&amp;"]"</f>
        <v>[S05_BiomassInstallations][7][NumberUsingBiomass]</v>
      </c>
    </row>
    <row r="643" spans="1:15" x14ac:dyDescent="0.3">
      <c r="A643" t="s">
        <v>2277</v>
      </c>
      <c r="B643" t="s">
        <v>1910</v>
      </c>
      <c r="C643" t="s">
        <v>1912</v>
      </c>
      <c r="D643">
        <v>8</v>
      </c>
      <c r="E643" t="s">
        <v>1447</v>
      </c>
      <c r="F643" t="s">
        <v>1914</v>
      </c>
      <c r="G643" t="s">
        <v>1748</v>
      </c>
      <c r="H643" t="s">
        <v>2279</v>
      </c>
      <c r="I643">
        <v>2</v>
      </c>
      <c r="J643" t="s">
        <v>2279</v>
      </c>
      <c r="K643" t="s">
        <v>2279</v>
      </c>
      <c r="L643" t="s">
        <v>2279</v>
      </c>
      <c r="M643" t="s">
        <v>2279</v>
      </c>
      <c r="N643" t="s">
        <v>2279</v>
      </c>
      <c r="O643" s="190" t="str">
        <f>"["&amp;$C643&amp;"]["&amp;$D643&amp;"]["&amp;$F643&amp;"]"</f>
        <v>[S05_BiomassInstallations][8][NumberUsingBiomass]</v>
      </c>
    </row>
    <row r="644" spans="1:15" x14ac:dyDescent="0.3">
      <c r="A644" t="s">
        <v>2277</v>
      </c>
      <c r="B644" t="s">
        <v>1910</v>
      </c>
      <c r="C644" t="s">
        <v>1912</v>
      </c>
      <c r="D644">
        <v>1</v>
      </c>
      <c r="E644" t="s">
        <v>1447</v>
      </c>
      <c r="F644" t="s">
        <v>1915</v>
      </c>
      <c r="G644" t="s">
        <v>1806</v>
      </c>
      <c r="H644" t="s">
        <v>2279</v>
      </c>
      <c r="I644" t="s">
        <v>2279</v>
      </c>
      <c r="J644">
        <v>4350352.07</v>
      </c>
      <c r="K644" t="s">
        <v>2279</v>
      </c>
      <c r="L644" t="s">
        <v>2279</v>
      </c>
      <c r="M644" t="s">
        <v>2279</v>
      </c>
      <c r="N644" t="s">
        <v>2279</v>
      </c>
      <c r="O644" s="190" t="str">
        <f>"["&amp;$C644&amp;"]["&amp;$D644&amp;"]["&amp;$F644&amp;"]"</f>
        <v>[S05_BiomassInstallations][1][EmissionsBiomassSustainabilitySatisfied]</v>
      </c>
    </row>
    <row r="645" spans="1:15" x14ac:dyDescent="0.3">
      <c r="A645" t="s">
        <v>2277</v>
      </c>
      <c r="B645" t="s">
        <v>1910</v>
      </c>
      <c r="C645" t="s">
        <v>1912</v>
      </c>
      <c r="D645">
        <v>2</v>
      </c>
      <c r="E645" t="s">
        <v>1447</v>
      </c>
      <c r="F645" t="s">
        <v>1915</v>
      </c>
      <c r="G645" t="s">
        <v>1806</v>
      </c>
      <c r="H645" t="s">
        <v>2279</v>
      </c>
      <c r="I645" t="s">
        <v>2279</v>
      </c>
      <c r="J645">
        <v>5297985.33</v>
      </c>
      <c r="K645" t="s">
        <v>2279</v>
      </c>
      <c r="L645" t="s">
        <v>2279</v>
      </c>
      <c r="M645" t="s">
        <v>2279</v>
      </c>
      <c r="N645" t="s">
        <v>2279</v>
      </c>
      <c r="O645" s="190" t="str">
        <f>"["&amp;$C645&amp;"]["&amp;$D645&amp;"]["&amp;$F645&amp;"]"</f>
        <v>[S05_BiomassInstallations][2][EmissionsBiomassSustainabilitySatisfied]</v>
      </c>
    </row>
    <row r="646" spans="1:15" x14ac:dyDescent="0.3">
      <c r="A646" t="s">
        <v>2277</v>
      </c>
      <c r="B646" t="s">
        <v>1910</v>
      </c>
      <c r="C646" t="s">
        <v>1912</v>
      </c>
      <c r="D646">
        <v>3</v>
      </c>
      <c r="E646" t="s">
        <v>1447</v>
      </c>
      <c r="F646" t="s">
        <v>1915</v>
      </c>
      <c r="G646" t="s">
        <v>1806</v>
      </c>
      <c r="H646" t="s">
        <v>2279</v>
      </c>
      <c r="I646" t="s">
        <v>2279</v>
      </c>
      <c r="J646">
        <v>1903818.13</v>
      </c>
      <c r="K646" t="s">
        <v>2279</v>
      </c>
      <c r="L646" t="s">
        <v>2279</v>
      </c>
      <c r="M646" t="s">
        <v>2279</v>
      </c>
      <c r="N646" t="s">
        <v>2279</v>
      </c>
      <c r="O646" s="190" t="str">
        <f>"["&amp;$C646&amp;"]["&amp;$D646&amp;"]["&amp;$F646&amp;"]"</f>
        <v>[S05_BiomassInstallations][3][EmissionsBiomassSustainabilitySatisfied]</v>
      </c>
    </row>
    <row r="647" spans="1:15" x14ac:dyDescent="0.3">
      <c r="A647" t="s">
        <v>2277</v>
      </c>
      <c r="B647" t="s">
        <v>1910</v>
      </c>
      <c r="C647" t="s">
        <v>1912</v>
      </c>
      <c r="D647">
        <v>4</v>
      </c>
      <c r="E647" t="s">
        <v>1447</v>
      </c>
      <c r="F647" t="s">
        <v>1915</v>
      </c>
      <c r="G647" t="s">
        <v>1806</v>
      </c>
      <c r="H647" t="s">
        <v>2279</v>
      </c>
      <c r="I647" t="s">
        <v>2279</v>
      </c>
      <c r="J647">
        <v>33105.910000000003</v>
      </c>
      <c r="K647" t="s">
        <v>2279</v>
      </c>
      <c r="L647" t="s">
        <v>2279</v>
      </c>
      <c r="M647" t="s">
        <v>2279</v>
      </c>
      <c r="N647" t="s">
        <v>2279</v>
      </c>
      <c r="O647" s="190" t="str">
        <f>"["&amp;$C647&amp;"]["&amp;$D647&amp;"]["&amp;$F647&amp;"]"</f>
        <v>[S05_BiomassInstallations][4][EmissionsBiomassSustainabilitySatisfied]</v>
      </c>
    </row>
    <row r="648" spans="1:15" x14ac:dyDescent="0.3">
      <c r="A648" t="s">
        <v>2277</v>
      </c>
      <c r="B648" t="s">
        <v>1910</v>
      </c>
      <c r="C648" t="s">
        <v>1912</v>
      </c>
      <c r="D648">
        <v>5</v>
      </c>
      <c r="E648" t="s">
        <v>1447</v>
      </c>
      <c r="F648" t="s">
        <v>1915</v>
      </c>
      <c r="G648" t="s">
        <v>1806</v>
      </c>
      <c r="H648" t="s">
        <v>2279</v>
      </c>
      <c r="I648" t="s">
        <v>2279</v>
      </c>
      <c r="J648">
        <v>7016.47</v>
      </c>
      <c r="K648" t="s">
        <v>2279</v>
      </c>
      <c r="L648" t="s">
        <v>2279</v>
      </c>
      <c r="M648" t="s">
        <v>2279</v>
      </c>
      <c r="N648" t="s">
        <v>2279</v>
      </c>
      <c r="O648" s="190" t="str">
        <f>"["&amp;$C648&amp;"]["&amp;$D648&amp;"]["&amp;$F648&amp;"]"</f>
        <v>[S05_BiomassInstallations][5][EmissionsBiomassSustainabilitySatisfied]</v>
      </c>
    </row>
    <row r="649" spans="1:15" x14ac:dyDescent="0.3">
      <c r="A649" t="s">
        <v>2277</v>
      </c>
      <c r="B649" t="s">
        <v>1910</v>
      </c>
      <c r="C649" t="s">
        <v>1912</v>
      </c>
      <c r="D649">
        <v>6</v>
      </c>
      <c r="E649" t="s">
        <v>1447</v>
      </c>
      <c r="F649" t="s">
        <v>1915</v>
      </c>
      <c r="G649" t="s">
        <v>1806</v>
      </c>
      <c r="H649" t="s">
        <v>2279</v>
      </c>
      <c r="I649" t="s">
        <v>2279</v>
      </c>
      <c r="J649">
        <v>36282.050000000003</v>
      </c>
      <c r="K649" t="s">
        <v>2279</v>
      </c>
      <c r="L649" t="s">
        <v>2279</v>
      </c>
      <c r="M649" t="s">
        <v>2279</v>
      </c>
      <c r="N649" t="s">
        <v>2279</v>
      </c>
      <c r="O649" s="190" t="str">
        <f>"["&amp;$C649&amp;"]["&amp;$D649&amp;"]["&amp;$F649&amp;"]"</f>
        <v>[S05_BiomassInstallations][6][EmissionsBiomassSustainabilitySatisfied]</v>
      </c>
    </row>
    <row r="650" spans="1:15" x14ac:dyDescent="0.3">
      <c r="A650" t="s">
        <v>2277</v>
      </c>
      <c r="B650" t="s">
        <v>1910</v>
      </c>
      <c r="C650" t="s">
        <v>1912</v>
      </c>
      <c r="D650">
        <v>7</v>
      </c>
      <c r="E650" t="s">
        <v>1447</v>
      </c>
      <c r="F650" t="s">
        <v>1915</v>
      </c>
      <c r="G650" t="s">
        <v>1806</v>
      </c>
      <c r="H650" t="s">
        <v>2279</v>
      </c>
      <c r="I650" t="s">
        <v>2279</v>
      </c>
      <c r="J650">
        <v>193725.97</v>
      </c>
      <c r="K650" t="s">
        <v>2279</v>
      </c>
      <c r="L650" t="s">
        <v>2279</v>
      </c>
      <c r="M650" t="s">
        <v>2279</v>
      </c>
      <c r="N650" t="s">
        <v>2279</v>
      </c>
      <c r="O650" s="190" t="str">
        <f>"["&amp;$C650&amp;"]["&amp;$D650&amp;"]["&amp;$F650&amp;"]"</f>
        <v>[S05_BiomassInstallations][7][EmissionsBiomassSustainabilitySatisfied]</v>
      </c>
    </row>
    <row r="651" spans="1:15" x14ac:dyDescent="0.3">
      <c r="A651" t="s">
        <v>2277</v>
      </c>
      <c r="B651" t="s">
        <v>1910</v>
      </c>
      <c r="C651" t="s">
        <v>1912</v>
      </c>
      <c r="D651">
        <v>8</v>
      </c>
      <c r="E651" t="s">
        <v>1447</v>
      </c>
      <c r="F651" t="s">
        <v>1915</v>
      </c>
      <c r="G651" t="s">
        <v>1806</v>
      </c>
      <c r="H651" t="s">
        <v>2279</v>
      </c>
      <c r="I651" t="s">
        <v>2279</v>
      </c>
      <c r="J651">
        <v>38891.800000000003</v>
      </c>
      <c r="K651" t="s">
        <v>2279</v>
      </c>
      <c r="L651" t="s">
        <v>2279</v>
      </c>
      <c r="M651" t="s">
        <v>2279</v>
      </c>
      <c r="N651" t="s">
        <v>2279</v>
      </c>
      <c r="O651" s="190" t="str">
        <f>"["&amp;$C651&amp;"]["&amp;$D651&amp;"]["&amp;$F651&amp;"]"</f>
        <v>[S05_BiomassInstallations][8][EmissionsBiomassSustainabilitySatisfied]</v>
      </c>
    </row>
    <row r="652" spans="1:15" x14ac:dyDescent="0.3">
      <c r="A652" t="s">
        <v>2277</v>
      </c>
      <c r="B652" t="s">
        <v>1910</v>
      </c>
      <c r="C652" t="s">
        <v>1912</v>
      </c>
      <c r="D652">
        <v>1</v>
      </c>
      <c r="E652" t="s">
        <v>1447</v>
      </c>
      <c r="F652" t="s">
        <v>1916</v>
      </c>
      <c r="G652" t="s">
        <v>1806</v>
      </c>
      <c r="H652" t="s">
        <v>2279</v>
      </c>
      <c r="I652" t="s">
        <v>2279</v>
      </c>
      <c r="J652">
        <v>117.01</v>
      </c>
      <c r="K652" t="s">
        <v>2279</v>
      </c>
      <c r="L652" t="s">
        <v>2279</v>
      </c>
      <c r="M652" t="s">
        <v>2279</v>
      </c>
      <c r="N652" t="s">
        <v>2279</v>
      </c>
      <c r="O652" s="190" t="str">
        <f>"["&amp;$C652&amp;"]["&amp;$D652&amp;"]["&amp;$F652&amp;"]"</f>
        <v>[S05_BiomassInstallations][1][EmissionsBiomassSustainabilityNotSatisfied]</v>
      </c>
    </row>
    <row r="653" spans="1:15" x14ac:dyDescent="0.3">
      <c r="A653" t="s">
        <v>2277</v>
      </c>
      <c r="B653" t="s">
        <v>1910</v>
      </c>
      <c r="C653" t="s">
        <v>1912</v>
      </c>
      <c r="D653">
        <v>2</v>
      </c>
      <c r="E653" t="s">
        <v>1447</v>
      </c>
      <c r="F653" t="s">
        <v>1916</v>
      </c>
      <c r="G653" t="s">
        <v>1806</v>
      </c>
      <c r="H653" t="s">
        <v>2279</v>
      </c>
      <c r="I653" t="s">
        <v>2279</v>
      </c>
      <c r="J653">
        <v>31479.37</v>
      </c>
      <c r="K653" t="s">
        <v>2279</v>
      </c>
      <c r="L653" t="s">
        <v>2279</v>
      </c>
      <c r="M653" t="s">
        <v>2279</v>
      </c>
      <c r="N653" t="s">
        <v>2279</v>
      </c>
      <c r="O653" s="190" t="str">
        <f>"["&amp;$C653&amp;"]["&amp;$D653&amp;"]["&amp;$F653&amp;"]"</f>
        <v>[S05_BiomassInstallations][2][EmissionsBiomassSustainabilityNotSatisfied]</v>
      </c>
    </row>
    <row r="654" spans="1:15" x14ac:dyDescent="0.3">
      <c r="A654" t="s">
        <v>2277</v>
      </c>
      <c r="B654" t="s">
        <v>1910</v>
      </c>
      <c r="C654" t="s">
        <v>1912</v>
      </c>
      <c r="D654">
        <v>3</v>
      </c>
      <c r="E654" t="s">
        <v>1447</v>
      </c>
      <c r="F654" t="s">
        <v>1916</v>
      </c>
      <c r="G654" t="s">
        <v>1806</v>
      </c>
      <c r="H654" t="s">
        <v>2279</v>
      </c>
      <c r="I654" t="s">
        <v>2279</v>
      </c>
      <c r="J654">
        <v>0</v>
      </c>
      <c r="K654" t="s">
        <v>2279</v>
      </c>
      <c r="L654" t="s">
        <v>2279</v>
      </c>
      <c r="M654" t="s">
        <v>2279</v>
      </c>
      <c r="N654" t="s">
        <v>2279</v>
      </c>
      <c r="O654" s="190" t="str">
        <f>"["&amp;$C654&amp;"]["&amp;$D654&amp;"]["&amp;$F654&amp;"]"</f>
        <v>[S05_BiomassInstallations][3][EmissionsBiomassSustainabilityNotSatisfied]</v>
      </c>
    </row>
    <row r="655" spans="1:15" x14ac:dyDescent="0.3">
      <c r="A655" t="s">
        <v>2277</v>
      </c>
      <c r="B655" t="s">
        <v>1910</v>
      </c>
      <c r="C655" t="s">
        <v>1912</v>
      </c>
      <c r="D655">
        <v>4</v>
      </c>
      <c r="E655" t="s">
        <v>1447</v>
      </c>
      <c r="F655" t="s">
        <v>1916</v>
      </c>
      <c r="G655" t="s">
        <v>1806</v>
      </c>
      <c r="H655" t="s">
        <v>2279</v>
      </c>
      <c r="I655" t="s">
        <v>2279</v>
      </c>
      <c r="J655">
        <v>0</v>
      </c>
      <c r="K655" t="s">
        <v>2279</v>
      </c>
      <c r="L655" t="s">
        <v>2279</v>
      </c>
      <c r="M655" t="s">
        <v>2279</v>
      </c>
      <c r="N655" t="s">
        <v>2279</v>
      </c>
      <c r="O655" s="190" t="str">
        <f>"["&amp;$C655&amp;"]["&amp;$D655&amp;"]["&amp;$F655&amp;"]"</f>
        <v>[S05_BiomassInstallations][4][EmissionsBiomassSustainabilityNotSatisfied]</v>
      </c>
    </row>
    <row r="656" spans="1:15" x14ac:dyDescent="0.3">
      <c r="A656" t="s">
        <v>2277</v>
      </c>
      <c r="B656" t="s">
        <v>1910</v>
      </c>
      <c r="C656" t="s">
        <v>1912</v>
      </c>
      <c r="D656">
        <v>5</v>
      </c>
      <c r="E656" t="s">
        <v>1447</v>
      </c>
      <c r="F656" t="s">
        <v>1916</v>
      </c>
      <c r="G656" t="s">
        <v>1806</v>
      </c>
      <c r="H656" t="s">
        <v>2279</v>
      </c>
      <c r="I656" t="s">
        <v>2279</v>
      </c>
      <c r="J656">
        <v>0</v>
      </c>
      <c r="K656" t="s">
        <v>2279</v>
      </c>
      <c r="L656" t="s">
        <v>2279</v>
      </c>
      <c r="M656" t="s">
        <v>2279</v>
      </c>
      <c r="N656" t="s">
        <v>2279</v>
      </c>
      <c r="O656" s="190" t="str">
        <f>"["&amp;$C656&amp;"]["&amp;$D656&amp;"]["&amp;$F656&amp;"]"</f>
        <v>[S05_BiomassInstallations][5][EmissionsBiomassSustainabilityNotSatisfied]</v>
      </c>
    </row>
    <row r="657" spans="1:15" x14ac:dyDescent="0.3">
      <c r="A657" t="s">
        <v>2277</v>
      </c>
      <c r="B657" t="s">
        <v>1910</v>
      </c>
      <c r="C657" t="s">
        <v>1912</v>
      </c>
      <c r="D657">
        <v>6</v>
      </c>
      <c r="E657" t="s">
        <v>1447</v>
      </c>
      <c r="F657" t="s">
        <v>1916</v>
      </c>
      <c r="G657" t="s">
        <v>1806</v>
      </c>
      <c r="H657" t="s">
        <v>2279</v>
      </c>
      <c r="I657" t="s">
        <v>2279</v>
      </c>
      <c r="J657">
        <v>0</v>
      </c>
      <c r="K657" t="s">
        <v>2279</v>
      </c>
      <c r="L657" t="s">
        <v>2279</v>
      </c>
      <c r="M657" t="s">
        <v>2279</v>
      </c>
      <c r="N657" t="s">
        <v>2279</v>
      </c>
      <c r="O657" s="190" t="str">
        <f>"["&amp;$C657&amp;"]["&amp;$D657&amp;"]["&amp;$F657&amp;"]"</f>
        <v>[S05_BiomassInstallations][6][EmissionsBiomassSustainabilityNotSatisfied]</v>
      </c>
    </row>
    <row r="658" spans="1:15" x14ac:dyDescent="0.3">
      <c r="A658" t="s">
        <v>2277</v>
      </c>
      <c r="B658" t="s">
        <v>1910</v>
      </c>
      <c r="C658" t="s">
        <v>1912</v>
      </c>
      <c r="D658">
        <v>7</v>
      </c>
      <c r="E658" t="s">
        <v>1447</v>
      </c>
      <c r="F658" t="s">
        <v>1916</v>
      </c>
      <c r="G658" t="s">
        <v>1806</v>
      </c>
      <c r="H658" t="s">
        <v>2279</v>
      </c>
      <c r="I658" t="s">
        <v>2279</v>
      </c>
      <c r="J658">
        <v>0</v>
      </c>
      <c r="K658" t="s">
        <v>2279</v>
      </c>
      <c r="L658" t="s">
        <v>2279</v>
      </c>
      <c r="M658" t="s">
        <v>2279</v>
      </c>
      <c r="N658" t="s">
        <v>2279</v>
      </c>
      <c r="O658" s="190" t="str">
        <f>"["&amp;$C658&amp;"]["&amp;$D658&amp;"]["&amp;$F658&amp;"]"</f>
        <v>[S05_BiomassInstallations][7][EmissionsBiomassSustainabilityNotSatisfied]</v>
      </c>
    </row>
    <row r="659" spans="1:15" x14ac:dyDescent="0.3">
      <c r="A659" t="s">
        <v>2277</v>
      </c>
      <c r="B659" t="s">
        <v>1910</v>
      </c>
      <c r="C659" t="s">
        <v>1912</v>
      </c>
      <c r="D659">
        <v>8</v>
      </c>
      <c r="E659" t="s">
        <v>1447</v>
      </c>
      <c r="F659" t="s">
        <v>1916</v>
      </c>
      <c r="G659" t="s">
        <v>1806</v>
      </c>
      <c r="H659" t="s">
        <v>2279</v>
      </c>
      <c r="I659" t="s">
        <v>2279</v>
      </c>
      <c r="J659">
        <v>0</v>
      </c>
      <c r="K659" t="s">
        <v>2279</v>
      </c>
      <c r="L659" t="s">
        <v>2279</v>
      </c>
      <c r="M659" t="s">
        <v>2279</v>
      </c>
      <c r="N659" t="s">
        <v>2279</v>
      </c>
      <c r="O659" s="190" t="str">
        <f>"["&amp;$C659&amp;"]["&amp;$D659&amp;"]["&amp;$F659&amp;"]"</f>
        <v>[S05_BiomassInstallations][8][EmissionsBiomassSustainabilityNotSatisfied]</v>
      </c>
    </row>
    <row r="660" spans="1:15" x14ac:dyDescent="0.3">
      <c r="A660" t="s">
        <v>2277</v>
      </c>
      <c r="B660" t="s">
        <v>1910</v>
      </c>
      <c r="C660" t="s">
        <v>1912</v>
      </c>
      <c r="D660">
        <v>1</v>
      </c>
      <c r="E660" t="s">
        <v>1447</v>
      </c>
      <c r="F660" t="s">
        <v>1917</v>
      </c>
      <c r="G660" t="s">
        <v>1806</v>
      </c>
      <c r="H660" t="s">
        <v>2279</v>
      </c>
      <c r="I660" t="s">
        <v>2279</v>
      </c>
      <c r="J660">
        <v>1210394.27</v>
      </c>
      <c r="K660" t="s">
        <v>2279</v>
      </c>
      <c r="L660" t="s">
        <v>2279</v>
      </c>
      <c r="M660" t="s">
        <v>2279</v>
      </c>
      <c r="N660" t="s">
        <v>2279</v>
      </c>
      <c r="O660" s="190" t="str">
        <f>"["&amp;$C660&amp;"]["&amp;$D660&amp;"]["&amp;$F660&amp;"]"</f>
        <v>[S05_BiomassInstallations][1][EmissionsFossil]</v>
      </c>
    </row>
    <row r="661" spans="1:15" x14ac:dyDescent="0.3">
      <c r="A661" t="s">
        <v>2277</v>
      </c>
      <c r="B661" t="s">
        <v>1910</v>
      </c>
      <c r="C661" t="s">
        <v>1912</v>
      </c>
      <c r="D661">
        <v>2</v>
      </c>
      <c r="E661" t="s">
        <v>1447</v>
      </c>
      <c r="F661" t="s">
        <v>1917</v>
      </c>
      <c r="G661" t="s">
        <v>1806</v>
      </c>
      <c r="H661" t="s">
        <v>2279</v>
      </c>
      <c r="I661" t="s">
        <v>2279</v>
      </c>
      <c r="J661">
        <v>2883851.25</v>
      </c>
      <c r="K661" t="s">
        <v>2279</v>
      </c>
      <c r="L661" t="s">
        <v>2279</v>
      </c>
      <c r="M661" t="s">
        <v>2279</v>
      </c>
      <c r="N661" t="s">
        <v>2279</v>
      </c>
      <c r="O661" s="190" t="str">
        <f>"["&amp;$C661&amp;"]["&amp;$D661&amp;"]["&amp;$F661&amp;"]"</f>
        <v>[S05_BiomassInstallations][2][EmissionsFossil]</v>
      </c>
    </row>
    <row r="662" spans="1:15" x14ac:dyDescent="0.3">
      <c r="A662" t="s">
        <v>2277</v>
      </c>
      <c r="B662" t="s">
        <v>1910</v>
      </c>
      <c r="C662" t="s">
        <v>1912</v>
      </c>
      <c r="D662">
        <v>3</v>
      </c>
      <c r="E662" t="s">
        <v>1447</v>
      </c>
      <c r="F662" t="s">
        <v>1917</v>
      </c>
      <c r="G662" t="s">
        <v>1806</v>
      </c>
      <c r="H662" t="s">
        <v>2279</v>
      </c>
      <c r="I662" t="s">
        <v>2279</v>
      </c>
      <c r="J662">
        <v>3725400.34</v>
      </c>
      <c r="K662" t="s">
        <v>2279</v>
      </c>
      <c r="L662" t="s">
        <v>2279</v>
      </c>
      <c r="M662" t="s">
        <v>2279</v>
      </c>
      <c r="N662" t="s">
        <v>2279</v>
      </c>
      <c r="O662" s="190" t="str">
        <f>"["&amp;$C662&amp;"]["&amp;$D662&amp;"]["&amp;$F662&amp;"]"</f>
        <v>[S05_BiomassInstallations][3][EmissionsFossil]</v>
      </c>
    </row>
    <row r="663" spans="1:15" x14ac:dyDescent="0.3">
      <c r="A663" t="s">
        <v>2277</v>
      </c>
      <c r="B663" t="s">
        <v>1910</v>
      </c>
      <c r="C663" t="s">
        <v>1912</v>
      </c>
      <c r="D663">
        <v>4</v>
      </c>
      <c r="E663" t="s">
        <v>1447</v>
      </c>
      <c r="F663" t="s">
        <v>1917</v>
      </c>
      <c r="G663" t="s">
        <v>1806</v>
      </c>
      <c r="H663" t="s">
        <v>2279</v>
      </c>
      <c r="I663" t="s">
        <v>2279</v>
      </c>
      <c r="J663">
        <v>133064.5</v>
      </c>
      <c r="K663" t="s">
        <v>2279</v>
      </c>
      <c r="L663" t="s">
        <v>2279</v>
      </c>
      <c r="M663" t="s">
        <v>2279</v>
      </c>
      <c r="N663" t="s">
        <v>2279</v>
      </c>
      <c r="O663" s="190" t="str">
        <f>"["&amp;$C663&amp;"]["&amp;$D663&amp;"]["&amp;$F663&amp;"]"</f>
        <v>[S05_BiomassInstallations][4][EmissionsFossil]</v>
      </c>
    </row>
    <row r="664" spans="1:15" x14ac:dyDescent="0.3">
      <c r="A664" t="s">
        <v>2277</v>
      </c>
      <c r="B664" t="s">
        <v>1910</v>
      </c>
      <c r="C664" t="s">
        <v>1912</v>
      </c>
      <c r="D664">
        <v>5</v>
      </c>
      <c r="E664" t="s">
        <v>1447</v>
      </c>
      <c r="F664" t="s">
        <v>1917</v>
      </c>
      <c r="G664" t="s">
        <v>1806</v>
      </c>
      <c r="H664" t="s">
        <v>2279</v>
      </c>
      <c r="I664" t="s">
        <v>2279</v>
      </c>
      <c r="J664">
        <v>119311.34</v>
      </c>
      <c r="K664" t="s">
        <v>2279</v>
      </c>
      <c r="L664" t="s">
        <v>2279</v>
      </c>
      <c r="M664" t="s">
        <v>2279</v>
      </c>
      <c r="N664" t="s">
        <v>2279</v>
      </c>
      <c r="O664" s="190" t="str">
        <f>"["&amp;$C664&amp;"]["&amp;$D664&amp;"]["&amp;$F664&amp;"]"</f>
        <v>[S05_BiomassInstallations][5][EmissionsFossil]</v>
      </c>
    </row>
    <row r="665" spans="1:15" x14ac:dyDescent="0.3">
      <c r="A665" t="s">
        <v>2277</v>
      </c>
      <c r="B665" t="s">
        <v>1910</v>
      </c>
      <c r="C665" t="s">
        <v>1912</v>
      </c>
      <c r="D665">
        <v>6</v>
      </c>
      <c r="E665" t="s">
        <v>1447</v>
      </c>
      <c r="F665" t="s">
        <v>1917</v>
      </c>
      <c r="G665" t="s">
        <v>1806</v>
      </c>
      <c r="H665" t="s">
        <v>2279</v>
      </c>
      <c r="I665" t="s">
        <v>2279</v>
      </c>
      <c r="J665">
        <v>35094.370000000003</v>
      </c>
      <c r="K665" t="s">
        <v>2279</v>
      </c>
      <c r="L665" t="s">
        <v>2279</v>
      </c>
      <c r="M665" t="s">
        <v>2279</v>
      </c>
      <c r="N665" t="s">
        <v>2279</v>
      </c>
      <c r="O665" s="190" t="str">
        <f>"["&amp;$C665&amp;"]["&amp;$D665&amp;"]["&amp;$F665&amp;"]"</f>
        <v>[S05_BiomassInstallations][6][EmissionsFossil]</v>
      </c>
    </row>
    <row r="666" spans="1:15" x14ac:dyDescent="0.3">
      <c r="A666" t="s">
        <v>2277</v>
      </c>
      <c r="B666" t="s">
        <v>1910</v>
      </c>
      <c r="C666" t="s">
        <v>1912</v>
      </c>
      <c r="D666">
        <v>7</v>
      </c>
      <c r="E666" t="s">
        <v>1447</v>
      </c>
      <c r="F666" t="s">
        <v>1917</v>
      </c>
      <c r="G666" t="s">
        <v>1806</v>
      </c>
      <c r="H666" t="s">
        <v>2279</v>
      </c>
      <c r="I666" t="s">
        <v>2279</v>
      </c>
      <c r="J666">
        <v>2248047.84</v>
      </c>
      <c r="K666" t="s">
        <v>2279</v>
      </c>
      <c r="L666" t="s">
        <v>2279</v>
      </c>
      <c r="M666" t="s">
        <v>2279</v>
      </c>
      <c r="N666" t="s">
        <v>2279</v>
      </c>
      <c r="O666" s="190" t="str">
        <f>"["&amp;$C666&amp;"]["&amp;$D666&amp;"]["&amp;$F666&amp;"]"</f>
        <v>[S05_BiomassInstallations][7][EmissionsFossil]</v>
      </c>
    </row>
    <row r="667" spans="1:15" x14ac:dyDescent="0.3">
      <c r="A667" t="s">
        <v>2277</v>
      </c>
      <c r="B667" t="s">
        <v>1910</v>
      </c>
      <c r="C667" t="s">
        <v>1912</v>
      </c>
      <c r="D667">
        <v>8</v>
      </c>
      <c r="E667" t="s">
        <v>1447</v>
      </c>
      <c r="F667" t="s">
        <v>1917</v>
      </c>
      <c r="G667" t="s">
        <v>1806</v>
      </c>
      <c r="H667" t="s">
        <v>2279</v>
      </c>
      <c r="I667" t="s">
        <v>2279</v>
      </c>
      <c r="J667">
        <v>29038.959999999999</v>
      </c>
      <c r="K667" t="s">
        <v>2279</v>
      </c>
      <c r="L667" t="s">
        <v>2279</v>
      </c>
      <c r="M667" t="s">
        <v>2279</v>
      </c>
      <c r="N667" t="s">
        <v>2279</v>
      </c>
      <c r="O667" s="190" t="str">
        <f>"["&amp;$C667&amp;"]["&amp;$D667&amp;"]["&amp;$F667&amp;"]"</f>
        <v>[S05_BiomassInstallations][8][EmissionsFossil]</v>
      </c>
    </row>
    <row r="668" spans="1:15" x14ac:dyDescent="0.3">
      <c r="A668" t="s">
        <v>2277</v>
      </c>
      <c r="B668" t="s">
        <v>1910</v>
      </c>
      <c r="C668" t="s">
        <v>1912</v>
      </c>
      <c r="D668">
        <v>1</v>
      </c>
      <c r="E668" t="s">
        <v>1447</v>
      </c>
      <c r="F668" t="s">
        <v>1918</v>
      </c>
      <c r="G668" t="s">
        <v>1806</v>
      </c>
      <c r="H668" t="s">
        <v>2279</v>
      </c>
      <c r="I668" t="s">
        <v>2279</v>
      </c>
      <c r="J668">
        <v>39229.671911243597</v>
      </c>
      <c r="K668" t="s">
        <v>2279</v>
      </c>
      <c r="L668" t="s">
        <v>2279</v>
      </c>
      <c r="M668" t="s">
        <v>2279</v>
      </c>
      <c r="N668" t="s">
        <v>2279</v>
      </c>
      <c r="O668" s="190" t="str">
        <f>"["&amp;$C668&amp;"]["&amp;$D668&amp;"]["&amp;$F668&amp;"]"</f>
        <v>[S05_BiomassInstallations][1][EnergyZeroRatedBiomass]</v>
      </c>
    </row>
    <row r="669" spans="1:15" x14ac:dyDescent="0.3">
      <c r="A669" t="s">
        <v>2277</v>
      </c>
      <c r="B669" t="s">
        <v>1910</v>
      </c>
      <c r="C669" t="s">
        <v>1912</v>
      </c>
      <c r="D669">
        <v>2</v>
      </c>
      <c r="E669" t="s">
        <v>1447</v>
      </c>
      <c r="F669" t="s">
        <v>1918</v>
      </c>
      <c r="G669" t="s">
        <v>1806</v>
      </c>
      <c r="H669" t="s">
        <v>2279</v>
      </c>
      <c r="I669" t="s">
        <v>2279</v>
      </c>
      <c r="J669">
        <v>49083.6928916584</v>
      </c>
      <c r="K669" t="s">
        <v>2279</v>
      </c>
      <c r="L669" t="s">
        <v>2279</v>
      </c>
      <c r="M669" t="s">
        <v>2279</v>
      </c>
      <c r="N669" t="s">
        <v>2279</v>
      </c>
      <c r="O669" s="190" t="str">
        <f>"["&amp;$C669&amp;"]["&amp;$D669&amp;"]["&amp;$F669&amp;"]"</f>
        <v>[S05_BiomassInstallations][2][EnergyZeroRatedBiomass]</v>
      </c>
    </row>
    <row r="670" spans="1:15" x14ac:dyDescent="0.3">
      <c r="A670" t="s">
        <v>2277</v>
      </c>
      <c r="B670" t="s">
        <v>1910</v>
      </c>
      <c r="C670" t="s">
        <v>1912</v>
      </c>
      <c r="D670">
        <v>3</v>
      </c>
      <c r="E670" t="s">
        <v>1447</v>
      </c>
      <c r="F670" t="s">
        <v>1918</v>
      </c>
      <c r="G670" t="s">
        <v>1806</v>
      </c>
      <c r="H670" t="s">
        <v>2279</v>
      </c>
      <c r="I670" t="s">
        <v>2279</v>
      </c>
      <c r="J670">
        <v>17319.146288094998</v>
      </c>
      <c r="K670" t="s">
        <v>2279</v>
      </c>
      <c r="L670" t="s">
        <v>2279</v>
      </c>
      <c r="M670" t="s">
        <v>2279</v>
      </c>
      <c r="N670" t="s">
        <v>2279</v>
      </c>
      <c r="O670" s="190" t="str">
        <f>"["&amp;$C670&amp;"]["&amp;$D670&amp;"]["&amp;$F670&amp;"]"</f>
        <v>[S05_BiomassInstallations][3][EnergyZeroRatedBiomass]</v>
      </c>
    </row>
    <row r="671" spans="1:15" x14ac:dyDescent="0.3">
      <c r="A671" t="s">
        <v>2277</v>
      </c>
      <c r="B671" t="s">
        <v>1910</v>
      </c>
      <c r="C671" t="s">
        <v>1912</v>
      </c>
      <c r="D671">
        <v>4</v>
      </c>
      <c r="E671" t="s">
        <v>1447</v>
      </c>
      <c r="F671" t="s">
        <v>1918</v>
      </c>
      <c r="G671" t="s">
        <v>1806</v>
      </c>
      <c r="H671" t="s">
        <v>2279</v>
      </c>
      <c r="I671" t="s">
        <v>2279</v>
      </c>
      <c r="J671">
        <v>374.50423415</v>
      </c>
      <c r="K671" t="s">
        <v>2279</v>
      </c>
      <c r="L671" t="s">
        <v>2279</v>
      </c>
      <c r="M671" t="s">
        <v>2279</v>
      </c>
      <c r="N671" t="s">
        <v>2279</v>
      </c>
      <c r="O671" s="190" t="str">
        <f>"["&amp;$C671&amp;"]["&amp;$D671&amp;"]["&amp;$F671&amp;"]"</f>
        <v>[S05_BiomassInstallations][4][EnergyZeroRatedBiomass]</v>
      </c>
    </row>
    <row r="672" spans="1:15" x14ac:dyDescent="0.3">
      <c r="A672" t="s">
        <v>2277</v>
      </c>
      <c r="B672" t="s">
        <v>1910</v>
      </c>
      <c r="C672" t="s">
        <v>1912</v>
      </c>
      <c r="D672">
        <v>5</v>
      </c>
      <c r="E672" t="s">
        <v>1447</v>
      </c>
      <c r="F672" t="s">
        <v>1918</v>
      </c>
      <c r="G672" t="s">
        <v>1806</v>
      </c>
      <c r="H672" t="s">
        <v>2279</v>
      </c>
      <c r="I672" t="s">
        <v>2279</v>
      </c>
      <c r="J672">
        <v>30.1064048148056</v>
      </c>
      <c r="K672" t="s">
        <v>2279</v>
      </c>
      <c r="L672" t="s">
        <v>2279</v>
      </c>
      <c r="M672" t="s">
        <v>2279</v>
      </c>
      <c r="N672" t="s">
        <v>2279</v>
      </c>
      <c r="O672" s="190" t="str">
        <f>"["&amp;$C672&amp;"]["&amp;$D672&amp;"]["&amp;$F672&amp;"]"</f>
        <v>[S05_BiomassInstallations][5][EnergyZeroRatedBiomass]</v>
      </c>
    </row>
    <row r="673" spans="1:15" x14ac:dyDescent="0.3">
      <c r="A673" t="s">
        <v>2277</v>
      </c>
      <c r="B673" t="s">
        <v>1910</v>
      </c>
      <c r="C673" t="s">
        <v>1912</v>
      </c>
      <c r="D673">
        <v>6</v>
      </c>
      <c r="E673" t="s">
        <v>1447</v>
      </c>
      <c r="F673" t="s">
        <v>1918</v>
      </c>
      <c r="G673" t="s">
        <v>1806</v>
      </c>
      <c r="H673" t="s">
        <v>2279</v>
      </c>
      <c r="I673" t="s">
        <v>2279</v>
      </c>
      <c r="J673">
        <v>323.94690000000003</v>
      </c>
      <c r="K673" t="s">
        <v>2279</v>
      </c>
      <c r="L673" t="s">
        <v>2279</v>
      </c>
      <c r="M673" t="s">
        <v>2279</v>
      </c>
      <c r="N673" t="s">
        <v>2279</v>
      </c>
      <c r="O673" s="190" t="str">
        <f>"["&amp;$C673&amp;"]["&amp;$D673&amp;"]["&amp;$F673&amp;"]"</f>
        <v>[S05_BiomassInstallations][6][EnergyZeroRatedBiomass]</v>
      </c>
    </row>
    <row r="674" spans="1:15" x14ac:dyDescent="0.3">
      <c r="A674" t="s">
        <v>2277</v>
      </c>
      <c r="B674" t="s">
        <v>1910</v>
      </c>
      <c r="C674" t="s">
        <v>1912</v>
      </c>
      <c r="D674">
        <v>7</v>
      </c>
      <c r="E674" t="s">
        <v>1447</v>
      </c>
      <c r="F674" t="s">
        <v>1918</v>
      </c>
      <c r="G674" t="s">
        <v>1806</v>
      </c>
      <c r="H674" t="s">
        <v>2279</v>
      </c>
      <c r="I674" t="s">
        <v>2279</v>
      </c>
      <c r="J674">
        <v>2066.8471403621202</v>
      </c>
      <c r="K674" t="s">
        <v>2279</v>
      </c>
      <c r="L674" t="s">
        <v>2279</v>
      </c>
      <c r="M674" t="s">
        <v>2279</v>
      </c>
      <c r="N674" t="s">
        <v>2279</v>
      </c>
      <c r="O674" s="190" t="str">
        <f>"["&amp;$C674&amp;"]["&amp;$D674&amp;"]["&amp;$F674&amp;"]"</f>
        <v>[S05_BiomassInstallations][7][EnergyZeroRatedBiomass]</v>
      </c>
    </row>
    <row r="675" spans="1:15" x14ac:dyDescent="0.3">
      <c r="A675" t="s">
        <v>2277</v>
      </c>
      <c r="B675" t="s">
        <v>1910</v>
      </c>
      <c r="C675" t="s">
        <v>1912</v>
      </c>
      <c r="D675">
        <v>8</v>
      </c>
      <c r="E675" t="s">
        <v>1447</v>
      </c>
      <c r="F675" t="s">
        <v>1918</v>
      </c>
      <c r="G675" t="s">
        <v>1806</v>
      </c>
      <c r="H675" t="s">
        <v>2279</v>
      </c>
      <c r="I675" t="s">
        <v>2279</v>
      </c>
      <c r="J675">
        <v>700.12241640000002</v>
      </c>
      <c r="K675" t="s">
        <v>2279</v>
      </c>
      <c r="L675" t="s">
        <v>2279</v>
      </c>
      <c r="M675" t="s">
        <v>2279</v>
      </c>
      <c r="N675" t="s">
        <v>2279</v>
      </c>
      <c r="O675" s="190" t="str">
        <f>"["&amp;$C675&amp;"]["&amp;$D675&amp;"]["&amp;$F675&amp;"]"</f>
        <v>[S05_BiomassInstallations][8][EnergyZeroRatedBiomass]</v>
      </c>
    </row>
    <row r="676" spans="1:15" x14ac:dyDescent="0.3">
      <c r="A676" t="s">
        <v>2277</v>
      </c>
      <c r="B676" t="s">
        <v>1910</v>
      </c>
      <c r="C676" t="s">
        <v>1912</v>
      </c>
      <c r="D676">
        <v>1</v>
      </c>
      <c r="E676" t="s">
        <v>1447</v>
      </c>
      <c r="F676" t="s">
        <v>1919</v>
      </c>
      <c r="G676" t="s">
        <v>1806</v>
      </c>
      <c r="H676" t="s">
        <v>2279</v>
      </c>
      <c r="I676" t="s">
        <v>2279</v>
      </c>
      <c r="J676">
        <v>0.81</v>
      </c>
      <c r="K676" t="s">
        <v>2279</v>
      </c>
      <c r="L676" t="s">
        <v>2279</v>
      </c>
      <c r="M676" t="s">
        <v>2279</v>
      </c>
      <c r="N676" t="s">
        <v>2279</v>
      </c>
      <c r="O676" s="190" t="str">
        <f>"["&amp;$C676&amp;"]["&amp;$D676&amp;"]["&amp;$F676&amp;"]"</f>
        <v>[S05_BiomassInstallations][1][EnergyNonZeroRatedBiomass]</v>
      </c>
    </row>
    <row r="677" spans="1:15" x14ac:dyDescent="0.3">
      <c r="A677" t="s">
        <v>2277</v>
      </c>
      <c r="B677" t="s">
        <v>1910</v>
      </c>
      <c r="C677" t="s">
        <v>1912</v>
      </c>
      <c r="D677">
        <v>2</v>
      </c>
      <c r="E677" t="s">
        <v>1447</v>
      </c>
      <c r="F677" t="s">
        <v>1919</v>
      </c>
      <c r="G677" t="s">
        <v>1806</v>
      </c>
      <c r="H677" t="s">
        <v>2279</v>
      </c>
      <c r="I677" t="s">
        <v>2279</v>
      </c>
      <c r="J677">
        <v>254.39</v>
      </c>
      <c r="K677" t="s">
        <v>2279</v>
      </c>
      <c r="L677" t="s">
        <v>2279</v>
      </c>
      <c r="M677" t="s">
        <v>2279</v>
      </c>
      <c r="N677" t="s">
        <v>2279</v>
      </c>
      <c r="O677" s="190" t="str">
        <f>"["&amp;$C677&amp;"]["&amp;$D677&amp;"]["&amp;$F677&amp;"]"</f>
        <v>[S05_BiomassInstallations][2][EnergyNonZeroRatedBiomass]</v>
      </c>
    </row>
    <row r="678" spans="1:15" x14ac:dyDescent="0.3">
      <c r="A678" t="s">
        <v>2277</v>
      </c>
      <c r="B678" t="s">
        <v>1910</v>
      </c>
      <c r="C678" t="s">
        <v>1912</v>
      </c>
      <c r="D678">
        <v>3</v>
      </c>
      <c r="E678" t="s">
        <v>1447</v>
      </c>
      <c r="F678" t="s">
        <v>1919</v>
      </c>
      <c r="G678" t="s">
        <v>1806</v>
      </c>
      <c r="H678" t="s">
        <v>2279</v>
      </c>
      <c r="I678" t="s">
        <v>2279</v>
      </c>
      <c r="J678">
        <v>0</v>
      </c>
      <c r="K678" t="s">
        <v>2279</v>
      </c>
      <c r="L678" t="s">
        <v>2279</v>
      </c>
      <c r="M678" t="s">
        <v>2279</v>
      </c>
      <c r="N678" t="s">
        <v>2279</v>
      </c>
      <c r="O678" s="190" t="str">
        <f>"["&amp;$C678&amp;"]["&amp;$D678&amp;"]["&amp;$F678&amp;"]"</f>
        <v>[S05_BiomassInstallations][3][EnergyNonZeroRatedBiomass]</v>
      </c>
    </row>
    <row r="679" spans="1:15" x14ac:dyDescent="0.3">
      <c r="A679" t="s">
        <v>2277</v>
      </c>
      <c r="B679" t="s">
        <v>1910</v>
      </c>
      <c r="C679" t="s">
        <v>1912</v>
      </c>
      <c r="D679">
        <v>4</v>
      </c>
      <c r="E679" t="s">
        <v>1447</v>
      </c>
      <c r="F679" t="s">
        <v>1919</v>
      </c>
      <c r="G679" t="s">
        <v>1806</v>
      </c>
      <c r="H679" t="s">
        <v>2279</v>
      </c>
      <c r="I679" t="s">
        <v>2279</v>
      </c>
      <c r="J679">
        <v>0</v>
      </c>
      <c r="K679" t="s">
        <v>2279</v>
      </c>
      <c r="L679" t="s">
        <v>2279</v>
      </c>
      <c r="M679" t="s">
        <v>2279</v>
      </c>
      <c r="N679" t="s">
        <v>2279</v>
      </c>
      <c r="O679" s="190" t="str">
        <f>"["&amp;$C679&amp;"]["&amp;$D679&amp;"]["&amp;$F679&amp;"]"</f>
        <v>[S05_BiomassInstallations][4][EnergyNonZeroRatedBiomass]</v>
      </c>
    </row>
    <row r="680" spans="1:15" x14ac:dyDescent="0.3">
      <c r="A680" t="s">
        <v>2277</v>
      </c>
      <c r="B680" t="s">
        <v>1910</v>
      </c>
      <c r="C680" t="s">
        <v>1912</v>
      </c>
      <c r="D680">
        <v>5</v>
      </c>
      <c r="E680" t="s">
        <v>1447</v>
      </c>
      <c r="F680" t="s">
        <v>1919</v>
      </c>
      <c r="G680" t="s">
        <v>1806</v>
      </c>
      <c r="H680" t="s">
        <v>2279</v>
      </c>
      <c r="I680" t="s">
        <v>2279</v>
      </c>
      <c r="J680">
        <v>0</v>
      </c>
      <c r="K680" t="s">
        <v>2279</v>
      </c>
      <c r="L680" t="s">
        <v>2279</v>
      </c>
      <c r="M680" t="s">
        <v>2279</v>
      </c>
      <c r="N680" t="s">
        <v>2279</v>
      </c>
      <c r="O680" s="190" t="str">
        <f>"["&amp;$C680&amp;"]["&amp;$D680&amp;"]["&amp;$F680&amp;"]"</f>
        <v>[S05_BiomassInstallations][5][EnergyNonZeroRatedBiomass]</v>
      </c>
    </row>
    <row r="681" spans="1:15" x14ac:dyDescent="0.3">
      <c r="A681" t="s">
        <v>2277</v>
      </c>
      <c r="B681" t="s">
        <v>1910</v>
      </c>
      <c r="C681" t="s">
        <v>1912</v>
      </c>
      <c r="D681">
        <v>6</v>
      </c>
      <c r="E681" t="s">
        <v>1447</v>
      </c>
      <c r="F681" t="s">
        <v>1919</v>
      </c>
      <c r="G681" t="s">
        <v>1806</v>
      </c>
      <c r="H681" t="s">
        <v>2279</v>
      </c>
      <c r="I681" t="s">
        <v>2279</v>
      </c>
      <c r="J681">
        <v>0</v>
      </c>
      <c r="K681" t="s">
        <v>2279</v>
      </c>
      <c r="L681" t="s">
        <v>2279</v>
      </c>
      <c r="M681" t="s">
        <v>2279</v>
      </c>
      <c r="N681" t="s">
        <v>2279</v>
      </c>
      <c r="O681" s="190" t="str">
        <f>"["&amp;$C681&amp;"]["&amp;$D681&amp;"]["&amp;$F681&amp;"]"</f>
        <v>[S05_BiomassInstallations][6][EnergyNonZeroRatedBiomass]</v>
      </c>
    </row>
    <row r="682" spans="1:15" x14ac:dyDescent="0.3">
      <c r="A682" t="s">
        <v>2277</v>
      </c>
      <c r="B682" t="s">
        <v>1910</v>
      </c>
      <c r="C682" t="s">
        <v>1912</v>
      </c>
      <c r="D682">
        <v>7</v>
      </c>
      <c r="E682" t="s">
        <v>1447</v>
      </c>
      <c r="F682" t="s">
        <v>1919</v>
      </c>
      <c r="G682" t="s">
        <v>1806</v>
      </c>
      <c r="H682" t="s">
        <v>2279</v>
      </c>
      <c r="I682" t="s">
        <v>2279</v>
      </c>
      <c r="J682">
        <v>0</v>
      </c>
      <c r="K682" t="s">
        <v>2279</v>
      </c>
      <c r="L682" t="s">
        <v>2279</v>
      </c>
      <c r="M682" t="s">
        <v>2279</v>
      </c>
      <c r="N682" t="s">
        <v>2279</v>
      </c>
      <c r="O682" s="190" t="str">
        <f>"["&amp;$C682&amp;"]["&amp;$D682&amp;"]["&amp;$F682&amp;"]"</f>
        <v>[S05_BiomassInstallations][7][EnergyNonZeroRatedBiomass]</v>
      </c>
    </row>
    <row r="683" spans="1:15" x14ac:dyDescent="0.3">
      <c r="A683" t="s">
        <v>2277</v>
      </c>
      <c r="B683" t="s">
        <v>1910</v>
      </c>
      <c r="C683" t="s">
        <v>1912</v>
      </c>
      <c r="D683">
        <v>8</v>
      </c>
      <c r="E683" t="s">
        <v>1447</v>
      </c>
      <c r="F683" t="s">
        <v>1919</v>
      </c>
      <c r="G683" t="s">
        <v>1806</v>
      </c>
      <c r="H683" t="s">
        <v>2279</v>
      </c>
      <c r="I683" t="s">
        <v>2279</v>
      </c>
      <c r="J683">
        <v>0</v>
      </c>
      <c r="K683" t="s">
        <v>2279</v>
      </c>
      <c r="L683" t="s">
        <v>2279</v>
      </c>
      <c r="M683" t="s">
        <v>2279</v>
      </c>
      <c r="N683" t="s">
        <v>2279</v>
      </c>
      <c r="O683" s="190" t="str">
        <f>"["&amp;$C683&amp;"]["&amp;$D683&amp;"]["&amp;$F683&amp;"]"</f>
        <v>[S05_BiomassInstallations][8][EnergyNonZeroRatedBiomass]</v>
      </c>
    </row>
    <row r="684" spans="1:15" x14ac:dyDescent="0.3">
      <c r="A684" t="s">
        <v>2277</v>
      </c>
      <c r="B684" t="s">
        <v>1910</v>
      </c>
      <c r="C684" t="s">
        <v>1912</v>
      </c>
      <c r="D684">
        <v>1</v>
      </c>
      <c r="E684" t="s">
        <v>1447</v>
      </c>
      <c r="F684" t="s">
        <v>1920</v>
      </c>
      <c r="G684" t="s">
        <v>1806</v>
      </c>
      <c r="H684" t="s">
        <v>2279</v>
      </c>
      <c r="I684" t="s">
        <v>2279</v>
      </c>
      <c r="J684">
        <v>19402.349999999999</v>
      </c>
      <c r="K684" t="s">
        <v>2279</v>
      </c>
      <c r="L684" t="s">
        <v>2279</v>
      </c>
      <c r="M684" t="s">
        <v>2279</v>
      </c>
      <c r="N684" t="s">
        <v>2279</v>
      </c>
      <c r="O684" s="190" t="str">
        <f>"["&amp;$C684&amp;"]["&amp;$D684&amp;"]["&amp;$F684&amp;"]"</f>
        <v>[S05_BiomassInstallations][1][EnergyFossil]</v>
      </c>
    </row>
    <row r="685" spans="1:15" x14ac:dyDescent="0.3">
      <c r="A685" t="s">
        <v>2277</v>
      </c>
      <c r="B685" t="s">
        <v>1910</v>
      </c>
      <c r="C685" t="s">
        <v>1912</v>
      </c>
      <c r="D685">
        <v>2</v>
      </c>
      <c r="E685" t="s">
        <v>1447</v>
      </c>
      <c r="F685" t="s">
        <v>1920</v>
      </c>
      <c r="G685" t="s">
        <v>1806</v>
      </c>
      <c r="H685" t="s">
        <v>2279</v>
      </c>
      <c r="I685" t="s">
        <v>2279</v>
      </c>
      <c r="J685">
        <v>39680.440999999999</v>
      </c>
      <c r="K685" t="s">
        <v>2279</v>
      </c>
      <c r="L685" t="s">
        <v>2279</v>
      </c>
      <c r="M685" t="s">
        <v>2279</v>
      </c>
      <c r="N685" t="s">
        <v>2279</v>
      </c>
      <c r="O685" s="190" t="str">
        <f>"["&amp;$C685&amp;"]["&amp;$D685&amp;"]["&amp;$F685&amp;"]"</f>
        <v>[S05_BiomassInstallations][2][EnergyFossil]</v>
      </c>
    </row>
    <row r="686" spans="1:15" x14ac:dyDescent="0.3">
      <c r="A686" t="s">
        <v>2277</v>
      </c>
      <c r="B686" t="s">
        <v>1910</v>
      </c>
      <c r="C686" t="s">
        <v>1912</v>
      </c>
      <c r="D686">
        <v>3</v>
      </c>
      <c r="E686" t="s">
        <v>1447</v>
      </c>
      <c r="F686" t="s">
        <v>1920</v>
      </c>
      <c r="G686" t="s">
        <v>1806</v>
      </c>
      <c r="H686" t="s">
        <v>2279</v>
      </c>
      <c r="I686" t="s">
        <v>2279</v>
      </c>
      <c r="J686">
        <v>39651.769999999997</v>
      </c>
      <c r="K686" t="s">
        <v>2279</v>
      </c>
      <c r="L686" t="s">
        <v>2279</v>
      </c>
      <c r="M686" t="s">
        <v>2279</v>
      </c>
      <c r="N686" t="s">
        <v>2279</v>
      </c>
      <c r="O686" s="190" t="str">
        <f>"["&amp;$C686&amp;"]["&amp;$D686&amp;"]["&amp;$F686&amp;"]"</f>
        <v>[S05_BiomassInstallations][3][EnergyFossil]</v>
      </c>
    </row>
    <row r="687" spans="1:15" x14ac:dyDescent="0.3">
      <c r="A687" t="s">
        <v>2277</v>
      </c>
      <c r="B687" t="s">
        <v>1910</v>
      </c>
      <c r="C687" t="s">
        <v>1912</v>
      </c>
      <c r="D687">
        <v>4</v>
      </c>
      <c r="E687" t="s">
        <v>1447</v>
      </c>
      <c r="F687" t="s">
        <v>1920</v>
      </c>
      <c r="G687" t="s">
        <v>1806</v>
      </c>
      <c r="H687" t="s">
        <v>2279</v>
      </c>
      <c r="I687" t="s">
        <v>2279</v>
      </c>
      <c r="J687">
        <v>1822.33</v>
      </c>
      <c r="K687" t="s">
        <v>2279</v>
      </c>
      <c r="L687" t="s">
        <v>2279</v>
      </c>
      <c r="M687" t="s">
        <v>2279</v>
      </c>
      <c r="N687" t="s">
        <v>2279</v>
      </c>
      <c r="O687" s="190" t="str">
        <f>"["&amp;$C687&amp;"]["&amp;$D687&amp;"]["&amp;$F687&amp;"]"</f>
        <v>[S05_BiomassInstallations][4][EnergyFossil]</v>
      </c>
    </row>
    <row r="688" spans="1:15" x14ac:dyDescent="0.3">
      <c r="A688" t="s">
        <v>2277</v>
      </c>
      <c r="B688" t="s">
        <v>1910</v>
      </c>
      <c r="C688" t="s">
        <v>1912</v>
      </c>
      <c r="D688">
        <v>5</v>
      </c>
      <c r="E688" t="s">
        <v>1447</v>
      </c>
      <c r="F688" t="s">
        <v>1920</v>
      </c>
      <c r="G688" t="s">
        <v>1806</v>
      </c>
      <c r="H688" t="s">
        <v>2279</v>
      </c>
      <c r="I688" t="s">
        <v>2279</v>
      </c>
      <c r="J688">
        <v>1169.96</v>
      </c>
      <c r="K688" t="s">
        <v>2279</v>
      </c>
      <c r="L688" t="s">
        <v>2279</v>
      </c>
      <c r="M688" t="s">
        <v>2279</v>
      </c>
      <c r="N688" t="s">
        <v>2279</v>
      </c>
      <c r="O688" s="190" t="str">
        <f>"["&amp;$C688&amp;"]["&amp;$D688&amp;"]["&amp;$F688&amp;"]"</f>
        <v>[S05_BiomassInstallations][5][EnergyFossil]</v>
      </c>
    </row>
    <row r="689" spans="1:15" x14ac:dyDescent="0.3">
      <c r="A689" t="s">
        <v>2277</v>
      </c>
      <c r="B689" t="s">
        <v>1910</v>
      </c>
      <c r="C689" t="s">
        <v>1912</v>
      </c>
      <c r="D689">
        <v>6</v>
      </c>
      <c r="E689" t="s">
        <v>1447</v>
      </c>
      <c r="F689" t="s">
        <v>1920</v>
      </c>
      <c r="G689" t="s">
        <v>1806</v>
      </c>
      <c r="H689" t="s">
        <v>2279</v>
      </c>
      <c r="I689" t="s">
        <v>2279</v>
      </c>
      <c r="J689">
        <v>600.69000000000005</v>
      </c>
      <c r="K689" t="s">
        <v>2279</v>
      </c>
      <c r="L689" t="s">
        <v>2279</v>
      </c>
      <c r="M689" t="s">
        <v>2279</v>
      </c>
      <c r="N689" t="s">
        <v>2279</v>
      </c>
      <c r="O689" s="190" t="str">
        <f>"["&amp;$C689&amp;"]["&amp;$D689&amp;"]["&amp;$F689&amp;"]"</f>
        <v>[S05_BiomassInstallations][6][EnergyFossil]</v>
      </c>
    </row>
    <row r="690" spans="1:15" x14ac:dyDescent="0.3">
      <c r="A690" t="s">
        <v>2277</v>
      </c>
      <c r="B690" t="s">
        <v>1910</v>
      </c>
      <c r="C690" t="s">
        <v>1912</v>
      </c>
      <c r="D690">
        <v>7</v>
      </c>
      <c r="E690" t="s">
        <v>1447</v>
      </c>
      <c r="F690" t="s">
        <v>1920</v>
      </c>
      <c r="G690" t="s">
        <v>1806</v>
      </c>
      <c r="H690" t="s">
        <v>2279</v>
      </c>
      <c r="I690" t="s">
        <v>2279</v>
      </c>
      <c r="J690">
        <v>11264.17</v>
      </c>
      <c r="K690" t="s">
        <v>2279</v>
      </c>
      <c r="L690" t="s">
        <v>2279</v>
      </c>
      <c r="M690" t="s">
        <v>2279</v>
      </c>
      <c r="N690" t="s">
        <v>2279</v>
      </c>
      <c r="O690" s="190" t="str">
        <f>"["&amp;$C690&amp;"]["&amp;$D690&amp;"]["&amp;$F690&amp;"]"</f>
        <v>[S05_BiomassInstallations][7][EnergyFossil]</v>
      </c>
    </row>
    <row r="691" spans="1:15" x14ac:dyDescent="0.3">
      <c r="A691" t="s">
        <v>2277</v>
      </c>
      <c r="B691" t="s">
        <v>1910</v>
      </c>
      <c r="C691" t="s">
        <v>1912</v>
      </c>
      <c r="D691">
        <v>8</v>
      </c>
      <c r="E691" t="s">
        <v>1447</v>
      </c>
      <c r="F691" t="s">
        <v>1920</v>
      </c>
      <c r="G691" t="s">
        <v>1806</v>
      </c>
      <c r="H691" t="s">
        <v>2279</v>
      </c>
      <c r="I691" t="s">
        <v>2279</v>
      </c>
      <c r="J691">
        <v>220.54</v>
      </c>
      <c r="K691" t="s">
        <v>2279</v>
      </c>
      <c r="L691" t="s">
        <v>2279</v>
      </c>
      <c r="M691" t="s">
        <v>2279</v>
      </c>
      <c r="N691" t="s">
        <v>2279</v>
      </c>
      <c r="O691" s="190" t="str">
        <f>"["&amp;$C691&amp;"]["&amp;$D691&amp;"]["&amp;$F691&amp;"]"</f>
        <v>[S05_BiomassInstallations][8][EnergyFossil]</v>
      </c>
    </row>
    <row r="692" spans="1:15" x14ac:dyDescent="0.3">
      <c r="A692" t="s">
        <v>2277</v>
      </c>
      <c r="B692" t="s">
        <v>1921</v>
      </c>
      <c r="C692" t="s">
        <v>1922</v>
      </c>
      <c r="D692">
        <v>0</v>
      </c>
      <c r="E692" t="s">
        <v>1447</v>
      </c>
      <c r="F692" t="s">
        <v>1922</v>
      </c>
      <c r="G692" t="s">
        <v>1806</v>
      </c>
      <c r="H692" t="s">
        <v>2279</v>
      </c>
      <c r="I692" t="s">
        <v>2279</v>
      </c>
      <c r="J692">
        <v>3284230.65</v>
      </c>
      <c r="K692" t="s">
        <v>2279</v>
      </c>
      <c r="L692" t="s">
        <v>2279</v>
      </c>
      <c r="M692" t="s">
        <v>2279</v>
      </c>
      <c r="N692" t="s">
        <v>2279</v>
      </c>
      <c r="O692" s="190" t="str">
        <f>"["&amp;$C692&amp;"]["&amp;$D692&amp;"]["&amp;$F692&amp;"]"</f>
        <v>[WasteFuelFossilCO2][0][WasteFuelFossilCO2]</v>
      </c>
    </row>
    <row r="693" spans="1:15" x14ac:dyDescent="0.3">
      <c r="A693" t="s">
        <v>2277</v>
      </c>
      <c r="B693" t="s">
        <v>1923</v>
      </c>
      <c r="C693" t="s">
        <v>1924</v>
      </c>
      <c r="D693">
        <v>0</v>
      </c>
      <c r="E693" t="s">
        <v>1447</v>
      </c>
      <c r="F693" t="s">
        <v>1924</v>
      </c>
      <c r="G693" t="s">
        <v>1759</v>
      </c>
      <c r="H693" t="s">
        <v>2279</v>
      </c>
      <c r="I693" t="s">
        <v>2279</v>
      </c>
      <c r="J693" t="s">
        <v>2279</v>
      </c>
      <c r="K693" t="s">
        <v>2279</v>
      </c>
      <c r="L693" t="s">
        <v>1419</v>
      </c>
      <c r="M693" t="s">
        <v>2279</v>
      </c>
      <c r="N693" t="s">
        <v>2279</v>
      </c>
      <c r="O693" s="190" t="str">
        <f>"["&amp;$C693&amp;"]["&amp;$D693&amp;"]["&amp;$F693&amp;"]"</f>
        <v>[SimplifiedMonitoringArt13][0][SimplifiedMonitoringArt13]</v>
      </c>
    </row>
    <row r="694" spans="1:15" x14ac:dyDescent="0.3">
      <c r="A694" t="s">
        <v>2277</v>
      </c>
      <c r="B694" t="s">
        <v>1923</v>
      </c>
      <c r="C694" t="s">
        <v>1925</v>
      </c>
      <c r="D694">
        <v>1</v>
      </c>
      <c r="E694" t="s">
        <v>1447</v>
      </c>
      <c r="F694" t="s">
        <v>1926</v>
      </c>
      <c r="G694" t="s">
        <v>1737</v>
      </c>
      <c r="H694" t="s">
        <v>2279</v>
      </c>
      <c r="I694" t="s">
        <v>2279</v>
      </c>
      <c r="J694" t="s">
        <v>2279</v>
      </c>
      <c r="K694" t="s">
        <v>2279</v>
      </c>
      <c r="L694" t="s">
        <v>1435</v>
      </c>
      <c r="M694" t="s">
        <v>2279</v>
      </c>
      <c r="N694" t="s">
        <v>2279</v>
      </c>
      <c r="O694" s="190" t="str">
        <f>"["&amp;$C694&amp;"]["&amp;$D694&amp;"]["&amp;$F694&amp;"]"</f>
        <v>[S05_SimplifiedMonitoringArt13Detail][1][Art13RiskAssessmentType]</v>
      </c>
    </row>
    <row r="695" spans="1:15" x14ac:dyDescent="0.3">
      <c r="A695" t="s">
        <v>2277</v>
      </c>
      <c r="B695" t="s">
        <v>1923</v>
      </c>
      <c r="C695" t="s">
        <v>1925</v>
      </c>
      <c r="D695">
        <v>1</v>
      </c>
      <c r="E695" t="s">
        <v>1447</v>
      </c>
      <c r="F695" t="s">
        <v>1927</v>
      </c>
      <c r="G695" t="s">
        <v>1741</v>
      </c>
      <c r="H695" t="s">
        <v>2368</v>
      </c>
      <c r="I695" t="s">
        <v>2279</v>
      </c>
      <c r="J695" t="s">
        <v>2279</v>
      </c>
      <c r="K695" t="s">
        <v>2279</v>
      </c>
      <c r="L695" t="s">
        <v>2279</v>
      </c>
      <c r="M695" t="s">
        <v>2279</v>
      </c>
      <c r="N695" t="s">
        <v>2279</v>
      </c>
      <c r="O695" s="190" t="str">
        <f>"["&amp;$C695&amp;"]["&amp;$D695&amp;"]["&amp;$F695&amp;"]"</f>
        <v>[S05_SimplifiedMonitoringArt13Detail][1][Art13RiskAssessmentPrinciples]</v>
      </c>
    </row>
    <row r="696" spans="1:15" x14ac:dyDescent="0.3">
      <c r="A696" t="s">
        <v>2277</v>
      </c>
      <c r="B696" t="s">
        <v>1928</v>
      </c>
      <c r="C696" t="s">
        <v>1929</v>
      </c>
      <c r="D696">
        <v>1</v>
      </c>
      <c r="E696" t="s">
        <v>1447</v>
      </c>
      <c r="F696" t="s">
        <v>1930</v>
      </c>
      <c r="G696" t="s">
        <v>1748</v>
      </c>
      <c r="H696" t="s">
        <v>2279</v>
      </c>
      <c r="I696">
        <v>0</v>
      </c>
      <c r="J696" t="s">
        <v>2279</v>
      </c>
      <c r="K696" t="s">
        <v>2279</v>
      </c>
      <c r="L696" t="s">
        <v>2279</v>
      </c>
      <c r="M696" t="s">
        <v>2279</v>
      </c>
      <c r="N696" t="s">
        <v>2279</v>
      </c>
      <c r="O696" s="190" t="str">
        <f>"["&amp;$C696&amp;"]["&amp;$D696&amp;"]["&amp;$F696&amp;"]"</f>
        <v>[S05_AircraftMethodFuelConsumption][1][CountAircraftOperators]</v>
      </c>
    </row>
    <row r="697" spans="1:15" x14ac:dyDescent="0.3">
      <c r="A697" t="s">
        <v>2277</v>
      </c>
      <c r="B697" t="s">
        <v>1928</v>
      </c>
      <c r="C697" t="s">
        <v>1929</v>
      </c>
      <c r="D697">
        <v>2</v>
      </c>
      <c r="E697" t="s">
        <v>1447</v>
      </c>
      <c r="F697" t="s">
        <v>1930</v>
      </c>
      <c r="G697" t="s">
        <v>1748</v>
      </c>
      <c r="H697" t="s">
        <v>2279</v>
      </c>
      <c r="I697">
        <v>8</v>
      </c>
      <c r="J697" t="s">
        <v>2279</v>
      </c>
      <c r="K697" t="s">
        <v>2279</v>
      </c>
      <c r="L697" t="s">
        <v>2279</v>
      </c>
      <c r="M697" t="s">
        <v>2279</v>
      </c>
      <c r="N697" t="s">
        <v>2279</v>
      </c>
      <c r="O697" s="190" t="str">
        <f>"["&amp;$C697&amp;"]["&amp;$D697&amp;"]["&amp;$F697&amp;"]"</f>
        <v>[S05_AircraftMethodFuelConsumption][2][CountAircraftOperators]</v>
      </c>
    </row>
    <row r="698" spans="1:15" x14ac:dyDescent="0.3">
      <c r="A698" t="s">
        <v>2277</v>
      </c>
      <c r="B698" t="s">
        <v>1928</v>
      </c>
      <c r="C698" t="s">
        <v>1929</v>
      </c>
      <c r="D698">
        <v>3</v>
      </c>
      <c r="E698" t="s">
        <v>1447</v>
      </c>
      <c r="F698" t="s">
        <v>1930</v>
      </c>
      <c r="G698" t="s">
        <v>1748</v>
      </c>
      <c r="H698" t="s">
        <v>2279</v>
      </c>
      <c r="I698">
        <v>0</v>
      </c>
      <c r="J698" t="s">
        <v>2279</v>
      </c>
      <c r="K698" t="s">
        <v>2279</v>
      </c>
      <c r="L698" t="s">
        <v>2279</v>
      </c>
      <c r="M698" t="s">
        <v>2279</v>
      </c>
      <c r="N698" t="s">
        <v>2279</v>
      </c>
      <c r="O698" s="190" t="str">
        <f>"["&amp;$C698&amp;"]["&amp;$D698&amp;"]["&amp;$F698&amp;"]"</f>
        <v>[S05_AircraftMethodFuelConsumption][3][CountAircraftOperators]</v>
      </c>
    </row>
    <row r="699" spans="1:15" x14ac:dyDescent="0.3">
      <c r="A699" t="s">
        <v>2277</v>
      </c>
      <c r="B699" t="s">
        <v>1928</v>
      </c>
      <c r="C699" t="s">
        <v>1929</v>
      </c>
      <c r="D699">
        <v>1</v>
      </c>
      <c r="E699" t="s">
        <v>1447</v>
      </c>
      <c r="F699" t="s">
        <v>1931</v>
      </c>
      <c r="G699" t="s">
        <v>1806</v>
      </c>
      <c r="H699" t="s">
        <v>2279</v>
      </c>
      <c r="I699" t="s">
        <v>2279</v>
      </c>
      <c r="J699">
        <v>0</v>
      </c>
      <c r="K699" t="s">
        <v>2279</v>
      </c>
      <c r="L699" t="s">
        <v>2279</v>
      </c>
      <c r="M699" t="s">
        <v>2279</v>
      </c>
      <c r="N699" t="s">
        <v>2279</v>
      </c>
      <c r="O699" s="190" t="str">
        <f>"["&amp;$C699&amp;"]["&amp;$D699&amp;"]["&amp;$F699&amp;"]"</f>
        <v>[S05_AircraftMethodFuelConsumption][1][SmallEmittersShare]</v>
      </c>
    </row>
    <row r="700" spans="1:15" x14ac:dyDescent="0.3">
      <c r="A700" t="s">
        <v>2277</v>
      </c>
      <c r="B700" t="s">
        <v>1928</v>
      </c>
      <c r="C700" t="s">
        <v>1929</v>
      </c>
      <c r="D700">
        <v>2</v>
      </c>
      <c r="E700" t="s">
        <v>1447</v>
      </c>
      <c r="F700" t="s">
        <v>1931</v>
      </c>
      <c r="G700" t="s">
        <v>1806</v>
      </c>
      <c r="H700" t="s">
        <v>2279</v>
      </c>
      <c r="I700" t="s">
        <v>2279</v>
      </c>
      <c r="J700">
        <v>0.25</v>
      </c>
      <c r="K700" t="s">
        <v>2279</v>
      </c>
      <c r="L700" t="s">
        <v>2279</v>
      </c>
      <c r="M700" t="s">
        <v>2279</v>
      </c>
      <c r="N700" t="s">
        <v>2279</v>
      </c>
      <c r="O700" s="190" t="str">
        <f>"["&amp;$C700&amp;"]["&amp;$D700&amp;"]["&amp;$F700&amp;"]"</f>
        <v>[S05_AircraftMethodFuelConsumption][2][SmallEmittersShare]</v>
      </c>
    </row>
    <row r="701" spans="1:15" x14ac:dyDescent="0.3">
      <c r="A701" t="s">
        <v>2277</v>
      </c>
      <c r="B701" t="s">
        <v>1928</v>
      </c>
      <c r="C701" t="s">
        <v>1929</v>
      </c>
      <c r="D701">
        <v>3</v>
      </c>
      <c r="E701" t="s">
        <v>1447</v>
      </c>
      <c r="F701" t="s">
        <v>1931</v>
      </c>
      <c r="G701" t="s">
        <v>1806</v>
      </c>
      <c r="H701" t="s">
        <v>2279</v>
      </c>
      <c r="I701" t="s">
        <v>2279</v>
      </c>
      <c r="J701">
        <v>0</v>
      </c>
      <c r="K701" t="s">
        <v>2279</v>
      </c>
      <c r="L701" t="s">
        <v>2279</v>
      </c>
      <c r="M701" t="s">
        <v>2279</v>
      </c>
      <c r="N701" t="s">
        <v>2279</v>
      </c>
      <c r="O701" s="190" t="str">
        <f>"["&amp;$C701&amp;"]["&amp;$D701&amp;"]["&amp;$F701&amp;"]"</f>
        <v>[S05_AircraftMethodFuelConsumption][3][SmallEmittersShare]</v>
      </c>
    </row>
    <row r="702" spans="1:15" x14ac:dyDescent="0.3">
      <c r="A702" t="s">
        <v>2277</v>
      </c>
      <c r="B702" t="s">
        <v>1932</v>
      </c>
      <c r="C702" t="s">
        <v>1933</v>
      </c>
      <c r="D702">
        <v>1</v>
      </c>
      <c r="E702" t="s">
        <v>1447</v>
      </c>
      <c r="F702" t="s">
        <v>1934</v>
      </c>
      <c r="G702" t="s">
        <v>1806</v>
      </c>
      <c r="H702" t="s">
        <v>2279</v>
      </c>
      <c r="I702" t="s">
        <v>2279</v>
      </c>
      <c r="J702">
        <v>275069</v>
      </c>
      <c r="K702" t="s">
        <v>2279</v>
      </c>
      <c r="L702" t="s">
        <v>2279</v>
      </c>
      <c r="M702" t="s">
        <v>2279</v>
      </c>
      <c r="N702" t="s">
        <v>2279</v>
      </c>
      <c r="O702" s="190" t="str">
        <f>"["&amp;$C702&amp;"]["&amp;$D702&amp;"]["&amp;$F702&amp;"]"</f>
        <v>[S05_TotalFlightEmissions][1][TotalFlightEmissions]</v>
      </c>
    </row>
    <row r="703" spans="1:15" x14ac:dyDescent="0.3">
      <c r="A703" t="s">
        <v>2277</v>
      </c>
      <c r="B703" t="s">
        <v>1932</v>
      </c>
      <c r="C703" t="s">
        <v>1933</v>
      </c>
      <c r="D703">
        <v>2</v>
      </c>
      <c r="E703" t="s">
        <v>1447</v>
      </c>
      <c r="F703" t="s">
        <v>1934</v>
      </c>
      <c r="G703" t="s">
        <v>1806</v>
      </c>
      <c r="H703" t="s">
        <v>2279</v>
      </c>
      <c r="I703" t="s">
        <v>2279</v>
      </c>
      <c r="J703">
        <v>70758.925950000004</v>
      </c>
      <c r="K703" t="s">
        <v>2279</v>
      </c>
      <c r="L703" t="s">
        <v>2279</v>
      </c>
      <c r="M703" t="s">
        <v>2279</v>
      </c>
      <c r="N703" t="s">
        <v>2279</v>
      </c>
      <c r="O703" s="190" t="str">
        <f>"["&amp;$C703&amp;"]["&amp;$D703&amp;"]["&amp;$F703&amp;"]"</f>
        <v>[S05_TotalFlightEmissions][2][TotalFlightEmissions]</v>
      </c>
    </row>
    <row r="704" spans="1:15" x14ac:dyDescent="0.3">
      <c r="A704" t="s">
        <v>2277</v>
      </c>
      <c r="B704" t="s">
        <v>1932</v>
      </c>
      <c r="C704" t="s">
        <v>1933</v>
      </c>
      <c r="D704">
        <v>3</v>
      </c>
      <c r="E704" t="s">
        <v>1447</v>
      </c>
      <c r="F704" t="s">
        <v>1934</v>
      </c>
      <c r="G704" t="s">
        <v>1806</v>
      </c>
      <c r="H704" t="s">
        <v>2279</v>
      </c>
      <c r="I704" t="s">
        <v>2279</v>
      </c>
      <c r="J704">
        <v>344685</v>
      </c>
      <c r="K704" t="s">
        <v>2279</v>
      </c>
      <c r="L704" t="s">
        <v>2279</v>
      </c>
      <c r="M704" t="s">
        <v>2279</v>
      </c>
      <c r="N704" t="s">
        <v>2279</v>
      </c>
      <c r="O704" s="190" t="str">
        <f>"["&amp;$C704&amp;"]["&amp;$D704&amp;"]["&amp;$F704&amp;"]"</f>
        <v>[S05_TotalFlightEmissions][3][TotalFlightEmissions]</v>
      </c>
    </row>
    <row r="705" spans="1:15" x14ac:dyDescent="0.3">
      <c r="A705" t="s">
        <v>2277</v>
      </c>
      <c r="B705" t="s">
        <v>1932</v>
      </c>
      <c r="C705" t="s">
        <v>1933</v>
      </c>
      <c r="D705">
        <v>4</v>
      </c>
      <c r="E705" t="s">
        <v>1447</v>
      </c>
      <c r="F705" t="s">
        <v>1934</v>
      </c>
      <c r="G705" t="s">
        <v>1806</v>
      </c>
      <c r="H705" t="s">
        <v>2279</v>
      </c>
      <c r="I705" t="s">
        <v>2279</v>
      </c>
      <c r="J705">
        <v>316663.35950636998</v>
      </c>
      <c r="K705" t="s">
        <v>2279</v>
      </c>
      <c r="L705" t="s">
        <v>2279</v>
      </c>
      <c r="M705" t="s">
        <v>2279</v>
      </c>
      <c r="N705" t="s">
        <v>2279</v>
      </c>
      <c r="O705" s="190" t="str">
        <f>"["&amp;$C705&amp;"]["&amp;$D705&amp;"]["&amp;$F705&amp;"]"</f>
        <v>[S05_TotalFlightEmissions][4][TotalFlightEmissions]</v>
      </c>
    </row>
    <row r="706" spans="1:15" x14ac:dyDescent="0.3">
      <c r="A706" t="s">
        <v>2277</v>
      </c>
      <c r="B706" t="s">
        <v>1932</v>
      </c>
      <c r="C706" t="s">
        <v>1933</v>
      </c>
      <c r="D706">
        <v>5</v>
      </c>
      <c r="E706" t="s">
        <v>1447</v>
      </c>
      <c r="F706" t="s">
        <v>1934</v>
      </c>
      <c r="G706" t="s">
        <v>1806</v>
      </c>
      <c r="H706" t="s">
        <v>2279</v>
      </c>
      <c r="I706" t="s">
        <v>2279</v>
      </c>
      <c r="J706">
        <v>773</v>
      </c>
      <c r="K706" t="s">
        <v>2279</v>
      </c>
      <c r="L706" t="s">
        <v>2279</v>
      </c>
      <c r="M706" t="s">
        <v>2279</v>
      </c>
      <c r="N706" t="s">
        <v>2279</v>
      </c>
      <c r="O706" s="190" t="str">
        <f>"["&amp;$C706&amp;"]["&amp;$D706&amp;"]["&amp;$F706&amp;"]"</f>
        <v>[S05_TotalFlightEmissions][5][TotalFlightEmissions]</v>
      </c>
    </row>
    <row r="707" spans="1:15" x14ac:dyDescent="0.3">
      <c r="A707" t="s">
        <v>2277</v>
      </c>
      <c r="B707" t="s">
        <v>1932</v>
      </c>
      <c r="C707" t="s">
        <v>1935</v>
      </c>
      <c r="D707">
        <v>0</v>
      </c>
      <c r="E707" t="s">
        <v>1447</v>
      </c>
      <c r="F707" t="s">
        <v>1935</v>
      </c>
      <c r="G707" t="s">
        <v>1748</v>
      </c>
      <c r="H707" t="s">
        <v>2279</v>
      </c>
      <c r="I707">
        <v>5</v>
      </c>
      <c r="J707" t="s">
        <v>2279</v>
      </c>
      <c r="K707" t="s">
        <v>2279</v>
      </c>
      <c r="L707" t="s">
        <v>2279</v>
      </c>
      <c r="M707" t="s">
        <v>2279</v>
      </c>
      <c r="N707" t="s">
        <v>2279</v>
      </c>
      <c r="O707" s="190" t="str">
        <f>"["&amp;$C707&amp;"]["&amp;$D707&amp;"]["&amp;$F707&amp;"]"</f>
        <v>[CountOperatorsThirdCountries][0][CountOperatorsThirdCountries]</v>
      </c>
    </row>
    <row r="708" spans="1:15" x14ac:dyDescent="0.3">
      <c r="A708" t="s">
        <v>2277</v>
      </c>
      <c r="B708" t="s">
        <v>1936</v>
      </c>
      <c r="C708" t="s">
        <v>1937</v>
      </c>
      <c r="D708">
        <v>0</v>
      </c>
      <c r="E708" t="s">
        <v>1447</v>
      </c>
      <c r="F708" t="s">
        <v>1937</v>
      </c>
      <c r="G708" t="s">
        <v>1748</v>
      </c>
      <c r="H708" t="s">
        <v>2279</v>
      </c>
      <c r="I708">
        <v>0</v>
      </c>
      <c r="J708" t="s">
        <v>2279</v>
      </c>
      <c r="K708" t="s">
        <v>2279</v>
      </c>
      <c r="L708" t="s">
        <v>2279</v>
      </c>
      <c r="M708" t="s">
        <v>2279</v>
      </c>
      <c r="N708" t="s">
        <v>2279</v>
      </c>
      <c r="O708" s="190" t="str">
        <f>"["&amp;$C708&amp;"]["&amp;$D708&amp;"]["&amp;$F708&amp;"]"</f>
        <v>[CountOperatorsUsingBiofuels][0][CountOperatorsUsingBiofuels]</v>
      </c>
    </row>
    <row r="709" spans="1:15" x14ac:dyDescent="0.3">
      <c r="A709" t="s">
        <v>2277</v>
      </c>
      <c r="B709" t="s">
        <v>1936</v>
      </c>
      <c r="C709" t="s">
        <v>1938</v>
      </c>
      <c r="D709">
        <v>0</v>
      </c>
      <c r="E709" t="s">
        <v>1447</v>
      </c>
      <c r="F709" t="s">
        <v>1938</v>
      </c>
      <c r="G709" t="s">
        <v>1806</v>
      </c>
      <c r="H709" t="s">
        <v>2279</v>
      </c>
      <c r="I709" t="s">
        <v>2279</v>
      </c>
      <c r="J709">
        <v>0</v>
      </c>
      <c r="K709" t="s">
        <v>2279</v>
      </c>
      <c r="L709" t="s">
        <v>2279</v>
      </c>
      <c r="M709" t="s">
        <v>2279</v>
      </c>
      <c r="N709" t="s">
        <v>2279</v>
      </c>
      <c r="O709" s="190" t="str">
        <f>"["&amp;$C709&amp;"]["&amp;$D709&amp;"]["&amp;$F709&amp;"]"</f>
        <v>[EmissionsBiofuelsSustainabilitySatisfied][0][EmissionsBiofuelsSustainabilitySatisfied]</v>
      </c>
    </row>
    <row r="710" spans="1:15" x14ac:dyDescent="0.3">
      <c r="A710" t="s">
        <v>2277</v>
      </c>
      <c r="B710" t="s">
        <v>1936</v>
      </c>
      <c r="C710" t="s">
        <v>1939</v>
      </c>
      <c r="D710">
        <v>0</v>
      </c>
      <c r="E710" t="s">
        <v>1447</v>
      </c>
      <c r="F710" t="s">
        <v>1939</v>
      </c>
      <c r="G710" t="s">
        <v>1806</v>
      </c>
      <c r="H710" t="s">
        <v>2279</v>
      </c>
      <c r="I710" t="s">
        <v>2279</v>
      </c>
      <c r="J710">
        <v>0</v>
      </c>
      <c r="K710" t="s">
        <v>2279</v>
      </c>
      <c r="L710" t="s">
        <v>2279</v>
      </c>
      <c r="M710" t="s">
        <v>2279</v>
      </c>
      <c r="N710" t="s">
        <v>2279</v>
      </c>
      <c r="O710" s="190" t="str">
        <f>"["&amp;$C710&amp;"]["&amp;$D710&amp;"]["&amp;$F710&amp;"]"</f>
        <v>[EmissionsBiofuelsSustainabilityNotSatisfied][0][EmissionsBiofuelsSustainabilityNotSatisfied]</v>
      </c>
    </row>
    <row r="711" spans="1:15" x14ac:dyDescent="0.3">
      <c r="A711" t="s">
        <v>2277</v>
      </c>
      <c r="B711" t="s">
        <v>1940</v>
      </c>
      <c r="C711" t="s">
        <v>1941</v>
      </c>
      <c r="D711">
        <v>1</v>
      </c>
      <c r="E711" t="s">
        <v>1447</v>
      </c>
      <c r="F711" t="s">
        <v>1942</v>
      </c>
      <c r="G711" t="s">
        <v>1748</v>
      </c>
      <c r="H711" t="s">
        <v>2279</v>
      </c>
      <c r="I711">
        <v>0</v>
      </c>
      <c r="J711" t="s">
        <v>2279</v>
      </c>
      <c r="K711" t="s">
        <v>2279</v>
      </c>
      <c r="L711" t="s">
        <v>2279</v>
      </c>
      <c r="M711" t="s">
        <v>2279</v>
      </c>
      <c r="N711" t="s">
        <v>2279</v>
      </c>
      <c r="O711" s="190" t="str">
        <f>"["&amp;$C711&amp;"]["&amp;$D711&amp;"]["&amp;$F711&amp;"]"</f>
        <v>[S05_SmallEmittersTool][1][CountSmallEmitters]</v>
      </c>
    </row>
    <row r="712" spans="1:15" x14ac:dyDescent="0.3">
      <c r="A712" t="s">
        <v>2277</v>
      </c>
      <c r="B712" t="s">
        <v>1940</v>
      </c>
      <c r="C712" t="s">
        <v>1941</v>
      </c>
      <c r="D712">
        <v>2</v>
      </c>
      <c r="E712" t="s">
        <v>1447</v>
      </c>
      <c r="F712" t="s">
        <v>1942</v>
      </c>
      <c r="G712" t="s">
        <v>1748</v>
      </c>
      <c r="H712" t="s">
        <v>2279</v>
      </c>
      <c r="I712">
        <v>0</v>
      </c>
      <c r="J712" t="s">
        <v>2279</v>
      </c>
      <c r="K712" t="s">
        <v>2279</v>
      </c>
      <c r="L712" t="s">
        <v>2279</v>
      </c>
      <c r="M712" t="s">
        <v>2279</v>
      </c>
      <c r="N712" t="s">
        <v>2279</v>
      </c>
      <c r="O712" s="190" t="str">
        <f>"["&amp;$C712&amp;"]["&amp;$D712&amp;"]["&amp;$F712&amp;"]"</f>
        <v>[S05_SmallEmittersTool][2][CountSmallEmitters]</v>
      </c>
    </row>
    <row r="713" spans="1:15" x14ac:dyDescent="0.3">
      <c r="A713" t="s">
        <v>2277</v>
      </c>
      <c r="B713" t="s">
        <v>1940</v>
      </c>
      <c r="C713" t="s">
        <v>1941</v>
      </c>
      <c r="D713">
        <v>3</v>
      </c>
      <c r="E713" t="s">
        <v>1447</v>
      </c>
      <c r="F713" t="s">
        <v>1942</v>
      </c>
      <c r="G713" t="s">
        <v>1748</v>
      </c>
      <c r="H713" t="s">
        <v>2279</v>
      </c>
      <c r="I713">
        <v>0</v>
      </c>
      <c r="J713" t="s">
        <v>2279</v>
      </c>
      <c r="K713" t="s">
        <v>2279</v>
      </c>
      <c r="L713" t="s">
        <v>2279</v>
      </c>
      <c r="M713" t="s">
        <v>2279</v>
      </c>
      <c r="N713" t="s">
        <v>2279</v>
      </c>
      <c r="O713" s="190" t="str">
        <f>"["&amp;$C713&amp;"]["&amp;$D713&amp;"]["&amp;$F713&amp;"]"</f>
        <v>[S05_SmallEmittersTool][3][CountSmallEmitters]</v>
      </c>
    </row>
    <row r="714" spans="1:15" x14ac:dyDescent="0.3">
      <c r="A714" t="s">
        <v>2277</v>
      </c>
      <c r="B714" t="s">
        <v>1940</v>
      </c>
      <c r="C714" t="s">
        <v>1941</v>
      </c>
      <c r="D714">
        <v>4</v>
      </c>
      <c r="E714" t="s">
        <v>1447</v>
      </c>
      <c r="F714" t="s">
        <v>1942</v>
      </c>
      <c r="G714" t="s">
        <v>1748</v>
      </c>
      <c r="H714" t="s">
        <v>2279</v>
      </c>
      <c r="I714">
        <v>2</v>
      </c>
      <c r="J714" t="s">
        <v>2279</v>
      </c>
      <c r="K714" t="s">
        <v>2279</v>
      </c>
      <c r="L714" t="s">
        <v>2279</v>
      </c>
      <c r="M714" t="s">
        <v>2279</v>
      </c>
      <c r="N714" t="s">
        <v>2279</v>
      </c>
      <c r="O714" s="190" t="str">
        <f>"["&amp;$C714&amp;"]["&amp;$D714&amp;"]["&amp;$F714&amp;"]"</f>
        <v>[S05_SmallEmittersTool][4][CountSmallEmitters]</v>
      </c>
    </row>
    <row r="715" spans="1:15" x14ac:dyDescent="0.3">
      <c r="A715" t="s">
        <v>2277</v>
      </c>
      <c r="B715" t="s">
        <v>1943</v>
      </c>
      <c r="C715" t="s">
        <v>1944</v>
      </c>
      <c r="D715">
        <v>0</v>
      </c>
      <c r="E715" t="s">
        <v>1447</v>
      </c>
      <c r="F715" t="s">
        <v>1944</v>
      </c>
      <c r="G715" t="s">
        <v>1748</v>
      </c>
      <c r="H715" t="s">
        <v>2279</v>
      </c>
      <c r="I715">
        <v>4</v>
      </c>
      <c r="J715" t="s">
        <v>2279</v>
      </c>
      <c r="K715" t="s">
        <v>2279</v>
      </c>
      <c r="L715" t="s">
        <v>2279</v>
      </c>
      <c r="M715" t="s">
        <v>2279</v>
      </c>
      <c r="N715" t="s">
        <v>2279</v>
      </c>
      <c r="O715" s="190" t="str">
        <f>"["&amp;$C715&amp;"]["&amp;$D715&amp;"]["&amp;$F715&amp;"]"</f>
        <v>[AircraftImprovementReportRequired][0][AircraftImprovementReportRequired]</v>
      </c>
    </row>
    <row r="716" spans="1:15" x14ac:dyDescent="0.3">
      <c r="A716" t="s">
        <v>2277</v>
      </c>
      <c r="B716" t="s">
        <v>1946</v>
      </c>
      <c r="C716" t="s">
        <v>1947</v>
      </c>
      <c r="D716">
        <v>0</v>
      </c>
      <c r="E716" t="s">
        <v>1447</v>
      </c>
      <c r="F716" t="s">
        <v>1947</v>
      </c>
      <c r="G716" t="s">
        <v>1759</v>
      </c>
      <c r="H716" t="s">
        <v>2279</v>
      </c>
      <c r="I716" t="s">
        <v>2279</v>
      </c>
      <c r="J716" t="s">
        <v>2279</v>
      </c>
      <c r="K716" t="s">
        <v>2279</v>
      </c>
      <c r="L716" t="s">
        <v>1447</v>
      </c>
      <c r="M716" t="s">
        <v>2279</v>
      </c>
      <c r="N716" t="s">
        <v>2279</v>
      </c>
      <c r="O716" s="190" t="str">
        <f>"["&amp;$C716&amp;"]["&amp;$D716&amp;"]["&amp;$F716&amp;"]"</f>
        <v>[AircraftSimplifiedMonitoringArt13][0][AircraftSimplifiedMonitoringArt13]</v>
      </c>
    </row>
    <row r="717" spans="1:15" x14ac:dyDescent="0.3">
      <c r="A717" t="s">
        <v>2277</v>
      </c>
      <c r="B717" t="s">
        <v>1951</v>
      </c>
      <c r="C717" t="s">
        <v>1952</v>
      </c>
      <c r="D717">
        <v>1</v>
      </c>
      <c r="E717" t="s">
        <v>1447</v>
      </c>
      <c r="F717" t="s">
        <v>1953</v>
      </c>
      <c r="G717" t="s">
        <v>1748</v>
      </c>
      <c r="H717" t="s">
        <v>2279</v>
      </c>
      <c r="I717">
        <v>3</v>
      </c>
      <c r="J717" t="s">
        <v>2279</v>
      </c>
      <c r="K717" t="s">
        <v>2279</v>
      </c>
      <c r="L717" t="s">
        <v>2279</v>
      </c>
      <c r="M717" t="s">
        <v>2279</v>
      </c>
      <c r="N717" t="s">
        <v>2279</v>
      </c>
      <c r="O717" s="190" t="str">
        <f>"["&amp;$C717&amp;"]["&amp;$D717&amp;"]["&amp;$F717&amp;"]"</f>
        <v>[S06_TotalVerifiers][1][CountVerifiersInstallations]</v>
      </c>
    </row>
    <row r="718" spans="1:15" x14ac:dyDescent="0.3">
      <c r="A718" t="s">
        <v>2277</v>
      </c>
      <c r="B718" t="s">
        <v>1951</v>
      </c>
      <c r="C718" t="s">
        <v>1952</v>
      </c>
      <c r="D718">
        <v>2</v>
      </c>
      <c r="E718" t="s">
        <v>1447</v>
      </c>
      <c r="F718" t="s">
        <v>1953</v>
      </c>
      <c r="G718" t="s">
        <v>1748</v>
      </c>
      <c r="H718" t="s">
        <v>2279</v>
      </c>
      <c r="I718">
        <v>0</v>
      </c>
      <c r="J718" t="s">
        <v>2279</v>
      </c>
      <c r="K718" t="s">
        <v>2279</v>
      </c>
      <c r="L718" t="s">
        <v>2279</v>
      </c>
      <c r="M718" t="s">
        <v>2279</v>
      </c>
      <c r="N718" t="s">
        <v>2279</v>
      </c>
      <c r="O718" s="190" t="str">
        <f>"["&amp;$C718&amp;"]["&amp;$D718&amp;"]["&amp;$F718&amp;"]"</f>
        <v>[S06_TotalVerifiers][2][CountVerifiersInstallations]</v>
      </c>
    </row>
    <row r="719" spans="1:15" x14ac:dyDescent="0.3">
      <c r="A719" t="s">
        <v>2277</v>
      </c>
      <c r="B719" t="s">
        <v>1951</v>
      </c>
      <c r="C719" t="s">
        <v>1952</v>
      </c>
      <c r="D719">
        <v>3</v>
      </c>
      <c r="E719" t="s">
        <v>1447</v>
      </c>
      <c r="F719" t="s">
        <v>1953</v>
      </c>
      <c r="G719" t="s">
        <v>1748</v>
      </c>
      <c r="H719" t="s">
        <v>2279</v>
      </c>
      <c r="I719">
        <v>1</v>
      </c>
      <c r="J719" t="s">
        <v>2279</v>
      </c>
      <c r="K719" t="s">
        <v>2279</v>
      </c>
      <c r="L719" t="s">
        <v>2279</v>
      </c>
      <c r="M719" t="s">
        <v>2279</v>
      </c>
      <c r="N719" t="s">
        <v>2279</v>
      </c>
      <c r="O719" s="190" t="str">
        <f>"["&amp;$C719&amp;"]["&amp;$D719&amp;"]["&amp;$F719&amp;"]"</f>
        <v>[S06_TotalVerifiers][3][CountVerifiersInstallations]</v>
      </c>
    </row>
    <row r="720" spans="1:15" x14ac:dyDescent="0.3">
      <c r="A720" t="s">
        <v>2277</v>
      </c>
      <c r="B720" t="s">
        <v>1951</v>
      </c>
      <c r="C720" t="s">
        <v>1952</v>
      </c>
      <c r="D720">
        <v>4</v>
      </c>
      <c r="E720" t="s">
        <v>1447</v>
      </c>
      <c r="F720" t="s">
        <v>1953</v>
      </c>
      <c r="G720" t="s">
        <v>1748</v>
      </c>
      <c r="H720" t="s">
        <v>2279</v>
      </c>
      <c r="I720">
        <v>0</v>
      </c>
      <c r="J720" t="s">
        <v>2279</v>
      </c>
      <c r="K720" t="s">
        <v>2279</v>
      </c>
      <c r="L720" t="s">
        <v>2279</v>
      </c>
      <c r="M720" t="s">
        <v>2279</v>
      </c>
      <c r="N720" t="s">
        <v>2279</v>
      </c>
      <c r="O720" s="190" t="str">
        <f>"["&amp;$C720&amp;"]["&amp;$D720&amp;"]["&amp;$F720&amp;"]"</f>
        <v>[S06_TotalVerifiers][4][CountVerifiersInstallations]</v>
      </c>
    </row>
    <row r="721" spans="1:15" x14ac:dyDescent="0.3">
      <c r="A721" t="s">
        <v>2277</v>
      </c>
      <c r="B721" t="s">
        <v>1951</v>
      </c>
      <c r="C721" t="s">
        <v>1952</v>
      </c>
      <c r="D721">
        <v>1</v>
      </c>
      <c r="E721" t="s">
        <v>1447</v>
      </c>
      <c r="F721" t="s">
        <v>1955</v>
      </c>
      <c r="G721" t="s">
        <v>1748</v>
      </c>
      <c r="H721" t="s">
        <v>2279</v>
      </c>
      <c r="I721">
        <v>0</v>
      </c>
      <c r="J721" t="s">
        <v>2279</v>
      </c>
      <c r="K721" t="s">
        <v>2279</v>
      </c>
      <c r="L721" t="s">
        <v>2279</v>
      </c>
      <c r="M721" t="s">
        <v>2279</v>
      </c>
      <c r="N721" t="s">
        <v>2279</v>
      </c>
      <c r="O721" s="190" t="str">
        <f>"["&amp;$C721&amp;"]["&amp;$D721&amp;"]["&amp;$F721&amp;"]"</f>
        <v>[S06_TotalVerifiers][1][CountVerifiersAviation]</v>
      </c>
    </row>
    <row r="722" spans="1:15" x14ac:dyDescent="0.3">
      <c r="A722" t="s">
        <v>2277</v>
      </c>
      <c r="B722" t="s">
        <v>1951</v>
      </c>
      <c r="C722" t="s">
        <v>1952</v>
      </c>
      <c r="D722">
        <v>2</v>
      </c>
      <c r="E722" t="s">
        <v>1447</v>
      </c>
      <c r="F722" t="s">
        <v>1955</v>
      </c>
      <c r="G722" t="s">
        <v>1748</v>
      </c>
      <c r="H722" t="s">
        <v>2279</v>
      </c>
      <c r="I722">
        <v>0</v>
      </c>
      <c r="J722" t="s">
        <v>2279</v>
      </c>
      <c r="K722" t="s">
        <v>2279</v>
      </c>
      <c r="L722" t="s">
        <v>2279</v>
      </c>
      <c r="M722" t="s">
        <v>2279</v>
      </c>
      <c r="N722" t="s">
        <v>2279</v>
      </c>
      <c r="O722" s="190" t="str">
        <f>"["&amp;$C722&amp;"]["&amp;$D722&amp;"]["&amp;$F722&amp;"]"</f>
        <v>[S06_TotalVerifiers][2][CountVerifiersAviation]</v>
      </c>
    </row>
    <row r="723" spans="1:15" x14ac:dyDescent="0.3">
      <c r="A723" t="s">
        <v>2277</v>
      </c>
      <c r="B723" t="s">
        <v>1951</v>
      </c>
      <c r="C723" t="s">
        <v>1952</v>
      </c>
      <c r="D723">
        <v>3</v>
      </c>
      <c r="E723" t="s">
        <v>1447</v>
      </c>
      <c r="F723" t="s">
        <v>1955</v>
      </c>
      <c r="G723" t="s">
        <v>1748</v>
      </c>
      <c r="H723" t="s">
        <v>2279</v>
      </c>
      <c r="I723">
        <v>1</v>
      </c>
      <c r="J723" t="s">
        <v>2279</v>
      </c>
      <c r="K723" t="s">
        <v>2279</v>
      </c>
      <c r="L723" t="s">
        <v>2279</v>
      </c>
      <c r="M723" t="s">
        <v>2279</v>
      </c>
      <c r="N723" t="s">
        <v>2279</v>
      </c>
      <c r="O723" s="190" t="str">
        <f>"["&amp;$C723&amp;"]["&amp;$D723&amp;"]["&amp;$F723&amp;"]"</f>
        <v>[S06_TotalVerifiers][3][CountVerifiersAviation]</v>
      </c>
    </row>
    <row r="724" spans="1:15" x14ac:dyDescent="0.3">
      <c r="A724" t="s">
        <v>2277</v>
      </c>
      <c r="B724" t="s">
        <v>1951</v>
      </c>
      <c r="C724" t="s">
        <v>1952</v>
      </c>
      <c r="D724">
        <v>4</v>
      </c>
      <c r="E724" t="s">
        <v>1447</v>
      </c>
      <c r="F724" t="s">
        <v>1955</v>
      </c>
      <c r="G724" t="s">
        <v>1748</v>
      </c>
      <c r="H724" t="s">
        <v>2279</v>
      </c>
      <c r="I724">
        <v>0</v>
      </c>
      <c r="J724" t="s">
        <v>2279</v>
      </c>
      <c r="K724" t="s">
        <v>2279</v>
      </c>
      <c r="L724" t="s">
        <v>2279</v>
      </c>
      <c r="M724" t="s">
        <v>2279</v>
      </c>
      <c r="N724" t="s">
        <v>2279</v>
      </c>
      <c r="O724" s="190" t="str">
        <f>"["&amp;$C724&amp;"]["&amp;$D724&amp;"]["&amp;$F724&amp;"]"</f>
        <v>[S06_TotalVerifiers][4][CountVerifiersAviation]</v>
      </c>
    </row>
    <row r="725" spans="1:15" x14ac:dyDescent="0.3">
      <c r="A725" t="s">
        <v>2277</v>
      </c>
      <c r="B725" t="s">
        <v>1951</v>
      </c>
      <c r="C725" t="s">
        <v>1957</v>
      </c>
      <c r="D725">
        <v>1</v>
      </c>
      <c r="E725" t="s">
        <v>1447</v>
      </c>
      <c r="F725" t="s">
        <v>1958</v>
      </c>
      <c r="G725" t="s">
        <v>1737</v>
      </c>
      <c r="H725" t="s">
        <v>2279</v>
      </c>
      <c r="I725" t="s">
        <v>2279</v>
      </c>
      <c r="J725" t="s">
        <v>2279</v>
      </c>
      <c r="K725" t="s">
        <v>2279</v>
      </c>
      <c r="L725" t="s">
        <v>1436</v>
      </c>
      <c r="M725" t="s">
        <v>2279</v>
      </c>
      <c r="N725" t="s">
        <v>2279</v>
      </c>
      <c r="O725" s="190" t="str">
        <f>"["&amp;$C725&amp;"]["&amp;$D725&amp;"]["&amp;$F725&amp;"]"</f>
        <v>[S06_AccredCertVerifiersAnnexI][1][AccredCertScope]</v>
      </c>
    </row>
    <row r="726" spans="1:15" x14ac:dyDescent="0.3">
      <c r="A726" t="s">
        <v>2277</v>
      </c>
      <c r="B726" t="s">
        <v>1951</v>
      </c>
      <c r="C726" t="s">
        <v>1957</v>
      </c>
      <c r="D726">
        <v>2</v>
      </c>
      <c r="E726" t="s">
        <v>1447</v>
      </c>
      <c r="F726" t="s">
        <v>1958</v>
      </c>
      <c r="G726" t="s">
        <v>1737</v>
      </c>
      <c r="H726" t="s">
        <v>2279</v>
      </c>
      <c r="I726" t="s">
        <v>2279</v>
      </c>
      <c r="J726" t="s">
        <v>2279</v>
      </c>
      <c r="K726" t="s">
        <v>2279</v>
      </c>
      <c r="L726" t="s">
        <v>1465</v>
      </c>
      <c r="M726" t="s">
        <v>2279</v>
      </c>
      <c r="N726" t="s">
        <v>2279</v>
      </c>
      <c r="O726" s="190" t="str">
        <f>"["&amp;$C726&amp;"]["&amp;$D726&amp;"]["&amp;$F726&amp;"]"</f>
        <v>[S06_AccredCertVerifiersAnnexI][2][AccredCertScope]</v>
      </c>
    </row>
    <row r="727" spans="1:15" x14ac:dyDescent="0.3">
      <c r="A727" t="s">
        <v>2277</v>
      </c>
      <c r="B727" t="s">
        <v>1951</v>
      </c>
      <c r="C727" t="s">
        <v>1957</v>
      </c>
      <c r="D727">
        <v>3</v>
      </c>
      <c r="E727" t="s">
        <v>1447</v>
      </c>
      <c r="F727" t="s">
        <v>1958</v>
      </c>
      <c r="G727" t="s">
        <v>1737</v>
      </c>
      <c r="H727" t="s">
        <v>2279</v>
      </c>
      <c r="I727" t="s">
        <v>2279</v>
      </c>
      <c r="J727" t="s">
        <v>2279</v>
      </c>
      <c r="K727" t="s">
        <v>2279</v>
      </c>
      <c r="L727" t="s">
        <v>1490</v>
      </c>
      <c r="M727" t="s">
        <v>2279</v>
      </c>
      <c r="N727" t="s">
        <v>2279</v>
      </c>
      <c r="O727" s="190" t="str">
        <f>"["&amp;$C727&amp;"]["&amp;$D727&amp;"]["&amp;$F727&amp;"]"</f>
        <v>[S06_AccredCertVerifiersAnnexI][3][AccredCertScope]</v>
      </c>
    </row>
    <row r="728" spans="1:15" x14ac:dyDescent="0.3">
      <c r="A728" t="s">
        <v>2277</v>
      </c>
      <c r="B728" t="s">
        <v>1951</v>
      </c>
      <c r="C728" t="s">
        <v>1957</v>
      </c>
      <c r="D728">
        <v>4</v>
      </c>
      <c r="E728" t="s">
        <v>1447</v>
      </c>
      <c r="F728" t="s">
        <v>1958</v>
      </c>
      <c r="G728" t="s">
        <v>1737</v>
      </c>
      <c r="H728" t="s">
        <v>2279</v>
      </c>
      <c r="I728" t="s">
        <v>2279</v>
      </c>
      <c r="J728" t="s">
        <v>2279</v>
      </c>
      <c r="K728" t="s">
        <v>2279</v>
      </c>
      <c r="L728" t="s">
        <v>1510</v>
      </c>
      <c r="M728" t="s">
        <v>2279</v>
      </c>
      <c r="N728" t="s">
        <v>2279</v>
      </c>
      <c r="O728" s="190" t="str">
        <f>"["&amp;$C728&amp;"]["&amp;$D728&amp;"]["&amp;$F728&amp;"]"</f>
        <v>[S06_AccredCertVerifiersAnnexI][4][AccredCertScope]</v>
      </c>
    </row>
    <row r="729" spans="1:15" x14ac:dyDescent="0.3">
      <c r="A729" t="s">
        <v>2277</v>
      </c>
      <c r="B729" t="s">
        <v>1951</v>
      </c>
      <c r="C729" t="s">
        <v>1957</v>
      </c>
      <c r="D729">
        <v>5</v>
      </c>
      <c r="E729" t="s">
        <v>1447</v>
      </c>
      <c r="F729" t="s">
        <v>1958</v>
      </c>
      <c r="G729" t="s">
        <v>1737</v>
      </c>
      <c r="H729" t="s">
        <v>2279</v>
      </c>
      <c r="I729" t="s">
        <v>2279</v>
      </c>
      <c r="J729" t="s">
        <v>2279</v>
      </c>
      <c r="K729" t="s">
        <v>2279</v>
      </c>
      <c r="L729" t="s">
        <v>1523</v>
      </c>
      <c r="M729" t="s">
        <v>2279</v>
      </c>
      <c r="N729" t="s">
        <v>2279</v>
      </c>
      <c r="O729" s="190" t="str">
        <f>"["&amp;$C729&amp;"]["&amp;$D729&amp;"]["&amp;$F729&amp;"]"</f>
        <v>[S06_AccredCertVerifiersAnnexI][5][AccredCertScope]</v>
      </c>
    </row>
    <row r="730" spans="1:15" x14ac:dyDescent="0.3">
      <c r="A730" t="s">
        <v>2277</v>
      </c>
      <c r="B730" t="s">
        <v>1951</v>
      </c>
      <c r="C730" t="s">
        <v>1957</v>
      </c>
      <c r="D730">
        <v>6</v>
      </c>
      <c r="E730" t="s">
        <v>1447</v>
      </c>
      <c r="F730" t="s">
        <v>1958</v>
      </c>
      <c r="G730" t="s">
        <v>1737</v>
      </c>
      <c r="H730" t="s">
        <v>2279</v>
      </c>
      <c r="I730" t="s">
        <v>2279</v>
      </c>
      <c r="J730" t="s">
        <v>2279</v>
      </c>
      <c r="K730" t="s">
        <v>2279</v>
      </c>
      <c r="L730" t="s">
        <v>1535</v>
      </c>
      <c r="M730" t="s">
        <v>2279</v>
      </c>
      <c r="N730" t="s">
        <v>2279</v>
      </c>
      <c r="O730" s="190" t="str">
        <f>"["&amp;$C730&amp;"]["&amp;$D730&amp;"]["&amp;$F730&amp;"]"</f>
        <v>[S06_AccredCertVerifiersAnnexI][6][AccredCertScope]</v>
      </c>
    </row>
    <row r="731" spans="1:15" x14ac:dyDescent="0.3">
      <c r="A731" t="s">
        <v>2277</v>
      </c>
      <c r="B731" t="s">
        <v>1951</v>
      </c>
      <c r="C731" t="s">
        <v>1957</v>
      </c>
      <c r="D731">
        <v>7</v>
      </c>
      <c r="E731" t="s">
        <v>1447</v>
      </c>
      <c r="F731" t="s">
        <v>1958</v>
      </c>
      <c r="G731" t="s">
        <v>1737</v>
      </c>
      <c r="H731" t="s">
        <v>2279</v>
      </c>
      <c r="I731" t="s">
        <v>2279</v>
      </c>
      <c r="J731" t="s">
        <v>2279</v>
      </c>
      <c r="K731" t="s">
        <v>2279</v>
      </c>
      <c r="L731" t="s">
        <v>1545</v>
      </c>
      <c r="M731" t="s">
        <v>2279</v>
      </c>
      <c r="N731" t="s">
        <v>2279</v>
      </c>
      <c r="O731" s="190" t="str">
        <f>"["&amp;$C731&amp;"]["&amp;$D731&amp;"]["&amp;$F731&amp;"]"</f>
        <v>[S06_AccredCertVerifiersAnnexI][7][AccredCertScope]</v>
      </c>
    </row>
    <row r="732" spans="1:15" x14ac:dyDescent="0.3">
      <c r="A732" t="s">
        <v>2277</v>
      </c>
      <c r="B732" t="s">
        <v>1951</v>
      </c>
      <c r="C732" t="s">
        <v>1957</v>
      </c>
      <c r="D732">
        <v>8</v>
      </c>
      <c r="E732" t="s">
        <v>1447</v>
      </c>
      <c r="F732" t="s">
        <v>1958</v>
      </c>
      <c r="G732" t="s">
        <v>1737</v>
      </c>
      <c r="H732" t="s">
        <v>2279</v>
      </c>
      <c r="I732" t="s">
        <v>2279</v>
      </c>
      <c r="J732" t="s">
        <v>2279</v>
      </c>
      <c r="K732" t="s">
        <v>2279</v>
      </c>
      <c r="L732" t="s">
        <v>1553</v>
      </c>
      <c r="M732" t="s">
        <v>2279</v>
      </c>
      <c r="N732" t="s">
        <v>2279</v>
      </c>
      <c r="O732" s="190" t="str">
        <f>"["&amp;$C732&amp;"]["&amp;$D732&amp;"]["&amp;$F732&amp;"]"</f>
        <v>[S06_AccredCertVerifiersAnnexI][8][AccredCertScope]</v>
      </c>
    </row>
    <row r="733" spans="1:15" x14ac:dyDescent="0.3">
      <c r="A733" t="s">
        <v>2277</v>
      </c>
      <c r="B733" t="s">
        <v>1951</v>
      </c>
      <c r="C733" t="s">
        <v>1957</v>
      </c>
      <c r="D733">
        <v>9</v>
      </c>
      <c r="E733" t="s">
        <v>1447</v>
      </c>
      <c r="F733" t="s">
        <v>1958</v>
      </c>
      <c r="G733" t="s">
        <v>1737</v>
      </c>
      <c r="H733" t="s">
        <v>2279</v>
      </c>
      <c r="I733" t="s">
        <v>2279</v>
      </c>
      <c r="J733" t="s">
        <v>2279</v>
      </c>
      <c r="K733" t="s">
        <v>2279</v>
      </c>
      <c r="L733" t="s">
        <v>1561</v>
      </c>
      <c r="M733" t="s">
        <v>2279</v>
      </c>
      <c r="N733" t="s">
        <v>2279</v>
      </c>
      <c r="O733" s="190" t="str">
        <f>"["&amp;$C733&amp;"]["&amp;$D733&amp;"]["&amp;$F733&amp;"]"</f>
        <v>[S06_AccredCertVerifiersAnnexI][9][AccredCertScope]</v>
      </c>
    </row>
    <row r="734" spans="1:15" x14ac:dyDescent="0.3">
      <c r="A734" t="s">
        <v>2277</v>
      </c>
      <c r="B734" t="s">
        <v>1951</v>
      </c>
      <c r="C734" t="s">
        <v>1957</v>
      </c>
      <c r="D734">
        <v>10</v>
      </c>
      <c r="E734" t="s">
        <v>1447</v>
      </c>
      <c r="F734" t="s">
        <v>1958</v>
      </c>
      <c r="G734" t="s">
        <v>1737</v>
      </c>
      <c r="H734" t="s">
        <v>2279</v>
      </c>
      <c r="I734" t="s">
        <v>2279</v>
      </c>
      <c r="J734" t="s">
        <v>2279</v>
      </c>
      <c r="K734" t="s">
        <v>2279</v>
      </c>
      <c r="L734" t="s">
        <v>1566</v>
      </c>
      <c r="M734" t="s">
        <v>2279</v>
      </c>
      <c r="N734" t="s">
        <v>2279</v>
      </c>
      <c r="O734" s="190" t="str">
        <f>"["&amp;$C734&amp;"]["&amp;$D734&amp;"]["&amp;$F734&amp;"]"</f>
        <v>[S06_AccredCertVerifiersAnnexI][10][AccredCertScope]</v>
      </c>
    </row>
    <row r="735" spans="1:15" x14ac:dyDescent="0.3">
      <c r="A735" t="s">
        <v>2277</v>
      </c>
      <c r="B735" t="s">
        <v>1951</v>
      </c>
      <c r="C735" t="s">
        <v>1957</v>
      </c>
      <c r="D735">
        <v>11</v>
      </c>
      <c r="E735" t="s">
        <v>1447</v>
      </c>
      <c r="F735" t="s">
        <v>1958</v>
      </c>
      <c r="G735" t="s">
        <v>1737</v>
      </c>
      <c r="H735" t="s">
        <v>2279</v>
      </c>
      <c r="I735" t="s">
        <v>2279</v>
      </c>
      <c r="J735" t="s">
        <v>2279</v>
      </c>
      <c r="K735" t="s">
        <v>2279</v>
      </c>
      <c r="L735" t="s">
        <v>1571</v>
      </c>
      <c r="M735" t="s">
        <v>2279</v>
      </c>
      <c r="N735" t="s">
        <v>2279</v>
      </c>
      <c r="O735" s="190" t="str">
        <f>"["&amp;$C735&amp;"]["&amp;$D735&amp;"]["&amp;$F735&amp;"]"</f>
        <v>[S06_AccredCertVerifiersAnnexI][11][AccredCertScope]</v>
      </c>
    </row>
    <row r="736" spans="1:15" x14ac:dyDescent="0.3">
      <c r="A736" t="s">
        <v>2277</v>
      </c>
      <c r="B736" t="s">
        <v>1951</v>
      </c>
      <c r="C736" t="s">
        <v>1957</v>
      </c>
      <c r="D736">
        <v>12</v>
      </c>
      <c r="E736" t="s">
        <v>1447</v>
      </c>
      <c r="F736" t="s">
        <v>1958</v>
      </c>
      <c r="G736" t="s">
        <v>1737</v>
      </c>
      <c r="H736" t="s">
        <v>2279</v>
      </c>
      <c r="I736" t="s">
        <v>2279</v>
      </c>
      <c r="J736" t="s">
        <v>2279</v>
      </c>
      <c r="K736" t="s">
        <v>2279</v>
      </c>
      <c r="L736" t="s">
        <v>1576</v>
      </c>
      <c r="M736" t="s">
        <v>2279</v>
      </c>
      <c r="N736" t="s">
        <v>2279</v>
      </c>
      <c r="O736" s="190" t="str">
        <f>"["&amp;$C736&amp;"]["&amp;$D736&amp;"]["&amp;$F736&amp;"]"</f>
        <v>[S06_AccredCertVerifiersAnnexI][12][AccredCertScope]</v>
      </c>
    </row>
    <row r="737" spans="1:15" x14ac:dyDescent="0.3">
      <c r="A737" t="s">
        <v>2277</v>
      </c>
      <c r="B737" t="s">
        <v>1951</v>
      </c>
      <c r="C737" t="s">
        <v>1957</v>
      </c>
      <c r="D737">
        <v>13</v>
      </c>
      <c r="E737" t="s">
        <v>1447</v>
      </c>
      <c r="F737" t="s">
        <v>1958</v>
      </c>
      <c r="G737" t="s">
        <v>1737</v>
      </c>
      <c r="H737" t="s">
        <v>2279</v>
      </c>
      <c r="I737" t="s">
        <v>2279</v>
      </c>
      <c r="J737" t="s">
        <v>2279</v>
      </c>
      <c r="K737" t="s">
        <v>2279</v>
      </c>
      <c r="L737" t="s">
        <v>1580</v>
      </c>
      <c r="M737" t="s">
        <v>2279</v>
      </c>
      <c r="N737" t="s">
        <v>2279</v>
      </c>
      <c r="O737" s="190" t="str">
        <f>"["&amp;$C737&amp;"]["&amp;$D737&amp;"]["&amp;$F737&amp;"]"</f>
        <v>[S06_AccredCertVerifiersAnnexI][13][AccredCertScope]</v>
      </c>
    </row>
    <row r="738" spans="1:15" x14ac:dyDescent="0.3">
      <c r="A738" t="s">
        <v>2277</v>
      </c>
      <c r="B738" t="s">
        <v>1951</v>
      </c>
      <c r="C738" t="s">
        <v>1957</v>
      </c>
      <c r="D738">
        <v>14</v>
      </c>
      <c r="E738" t="s">
        <v>1447</v>
      </c>
      <c r="F738" t="s">
        <v>1958</v>
      </c>
      <c r="G738" t="s">
        <v>1737</v>
      </c>
      <c r="H738" t="s">
        <v>2279</v>
      </c>
      <c r="I738" t="s">
        <v>2279</v>
      </c>
      <c r="J738" t="s">
        <v>2279</v>
      </c>
      <c r="K738" t="s">
        <v>2279</v>
      </c>
      <c r="L738" t="s">
        <v>1585</v>
      </c>
      <c r="M738" t="s">
        <v>2279</v>
      </c>
      <c r="N738" t="s">
        <v>2279</v>
      </c>
      <c r="O738" s="190" t="str">
        <f>"["&amp;$C738&amp;"]["&amp;$D738&amp;"]["&amp;$F738&amp;"]"</f>
        <v>[S06_AccredCertVerifiersAnnexI][14][AccredCertScope]</v>
      </c>
    </row>
    <row r="739" spans="1:15" x14ac:dyDescent="0.3">
      <c r="A739" t="s">
        <v>2277</v>
      </c>
      <c r="B739" t="s">
        <v>1951</v>
      </c>
      <c r="C739" t="s">
        <v>1957</v>
      </c>
      <c r="D739">
        <v>15</v>
      </c>
      <c r="E739" t="s">
        <v>1447</v>
      </c>
      <c r="F739" t="s">
        <v>1958</v>
      </c>
      <c r="G739" t="s">
        <v>1737</v>
      </c>
      <c r="H739" t="s">
        <v>2279</v>
      </c>
      <c r="I739" t="s">
        <v>2279</v>
      </c>
      <c r="J739" t="s">
        <v>2279</v>
      </c>
      <c r="K739" t="s">
        <v>2279</v>
      </c>
      <c r="L739" t="s">
        <v>1590</v>
      </c>
      <c r="M739" t="s">
        <v>2279</v>
      </c>
      <c r="N739" t="s">
        <v>2279</v>
      </c>
      <c r="O739" s="190" t="str">
        <f>"["&amp;$C739&amp;"]["&amp;$D739&amp;"]["&amp;$F739&amp;"]"</f>
        <v>[S06_AccredCertVerifiersAnnexI][15][AccredCertScope]</v>
      </c>
    </row>
    <row r="740" spans="1:15" x14ac:dyDescent="0.3">
      <c r="A740" t="s">
        <v>2277</v>
      </c>
      <c r="B740" t="s">
        <v>1951</v>
      </c>
      <c r="C740" t="s">
        <v>1957</v>
      </c>
      <c r="D740">
        <v>16</v>
      </c>
      <c r="E740" t="s">
        <v>1447</v>
      </c>
      <c r="F740" t="s">
        <v>1958</v>
      </c>
      <c r="G740" t="s">
        <v>1737</v>
      </c>
      <c r="H740" t="s">
        <v>2279</v>
      </c>
      <c r="I740" t="s">
        <v>2279</v>
      </c>
      <c r="J740" t="s">
        <v>2279</v>
      </c>
      <c r="K740" t="s">
        <v>2279</v>
      </c>
      <c r="L740" t="s">
        <v>1595</v>
      </c>
      <c r="M740" t="s">
        <v>2279</v>
      </c>
      <c r="N740" t="s">
        <v>2279</v>
      </c>
      <c r="O740" s="190" t="str">
        <f>"["&amp;$C740&amp;"]["&amp;$D740&amp;"]["&amp;$F740&amp;"]"</f>
        <v>[S06_AccredCertVerifiersAnnexI][16][AccredCertScope]</v>
      </c>
    </row>
    <row r="741" spans="1:15" x14ac:dyDescent="0.3">
      <c r="A741" t="s">
        <v>2277</v>
      </c>
      <c r="B741" t="s">
        <v>1951</v>
      </c>
      <c r="C741" t="s">
        <v>1957</v>
      </c>
      <c r="D741">
        <v>17</v>
      </c>
      <c r="E741" t="s">
        <v>1447</v>
      </c>
      <c r="F741" t="s">
        <v>1958</v>
      </c>
      <c r="G741" t="s">
        <v>1737</v>
      </c>
      <c r="H741" t="s">
        <v>2279</v>
      </c>
      <c r="I741" t="s">
        <v>2279</v>
      </c>
      <c r="J741" t="s">
        <v>2279</v>
      </c>
      <c r="K741" t="s">
        <v>2279</v>
      </c>
      <c r="L741" t="s">
        <v>1600</v>
      </c>
      <c r="M741" t="s">
        <v>2279</v>
      </c>
      <c r="N741" t="s">
        <v>2279</v>
      </c>
      <c r="O741" s="190" t="str">
        <f>"["&amp;$C741&amp;"]["&amp;$D741&amp;"]["&amp;$F741&amp;"]"</f>
        <v>[S06_AccredCertVerifiersAnnexI][17][AccredCertScope]</v>
      </c>
    </row>
    <row r="742" spans="1:15" x14ac:dyDescent="0.3">
      <c r="A742" t="s">
        <v>2277</v>
      </c>
      <c r="B742" t="s">
        <v>1951</v>
      </c>
      <c r="C742" t="s">
        <v>1957</v>
      </c>
      <c r="D742">
        <v>18</v>
      </c>
      <c r="E742" t="s">
        <v>1447</v>
      </c>
      <c r="F742" t="s">
        <v>1958</v>
      </c>
      <c r="G742" t="s">
        <v>1737</v>
      </c>
      <c r="H742" t="s">
        <v>2279</v>
      </c>
      <c r="I742" t="s">
        <v>2279</v>
      </c>
      <c r="J742" t="s">
        <v>2279</v>
      </c>
      <c r="K742" t="s">
        <v>2279</v>
      </c>
      <c r="L742" t="s">
        <v>1605</v>
      </c>
      <c r="M742" t="s">
        <v>2279</v>
      </c>
      <c r="N742" t="s">
        <v>2279</v>
      </c>
      <c r="O742" s="190" t="str">
        <f>"["&amp;$C742&amp;"]["&amp;$D742&amp;"]["&amp;$F742&amp;"]"</f>
        <v>[S06_AccredCertVerifiersAnnexI][18][AccredCertScope]</v>
      </c>
    </row>
    <row r="743" spans="1:15" x14ac:dyDescent="0.3">
      <c r="A743" t="s">
        <v>2277</v>
      </c>
      <c r="B743" t="s">
        <v>1951</v>
      </c>
      <c r="C743" t="s">
        <v>1957</v>
      </c>
      <c r="D743">
        <v>19</v>
      </c>
      <c r="E743" t="s">
        <v>1447</v>
      </c>
      <c r="F743" t="s">
        <v>1958</v>
      </c>
      <c r="G743" t="s">
        <v>1737</v>
      </c>
      <c r="H743" t="s">
        <v>2279</v>
      </c>
      <c r="I743" t="s">
        <v>2279</v>
      </c>
      <c r="J743" t="s">
        <v>2279</v>
      </c>
      <c r="K743" t="s">
        <v>2279</v>
      </c>
      <c r="L743" t="s">
        <v>1610</v>
      </c>
      <c r="M743" t="s">
        <v>2279</v>
      </c>
      <c r="N743" t="s">
        <v>2279</v>
      </c>
      <c r="O743" s="190" t="str">
        <f>"["&amp;$C743&amp;"]["&amp;$D743&amp;"]["&amp;$F743&amp;"]"</f>
        <v>[S06_AccredCertVerifiersAnnexI][19][AccredCertScope]</v>
      </c>
    </row>
    <row r="744" spans="1:15" x14ac:dyDescent="0.3">
      <c r="A744" t="s">
        <v>2277</v>
      </c>
      <c r="B744" t="s">
        <v>1951</v>
      </c>
      <c r="C744" t="s">
        <v>1957</v>
      </c>
      <c r="D744">
        <v>20</v>
      </c>
      <c r="E744" t="s">
        <v>1447</v>
      </c>
      <c r="F744" t="s">
        <v>1958</v>
      </c>
      <c r="G744" t="s">
        <v>1737</v>
      </c>
      <c r="H744" t="s">
        <v>2279</v>
      </c>
      <c r="I744" t="s">
        <v>2279</v>
      </c>
      <c r="J744" t="s">
        <v>2279</v>
      </c>
      <c r="K744" t="s">
        <v>2279</v>
      </c>
      <c r="L744" t="s">
        <v>1615</v>
      </c>
      <c r="M744" t="s">
        <v>2279</v>
      </c>
      <c r="N744" t="s">
        <v>2279</v>
      </c>
      <c r="O744" s="190" t="str">
        <f>"["&amp;$C744&amp;"]["&amp;$D744&amp;"]["&amp;$F744&amp;"]"</f>
        <v>[S06_AccredCertVerifiersAnnexI][20][AccredCertScope]</v>
      </c>
    </row>
    <row r="745" spans="1:15" x14ac:dyDescent="0.3">
      <c r="A745" t="s">
        <v>2277</v>
      </c>
      <c r="B745" t="s">
        <v>1951</v>
      </c>
      <c r="C745" t="s">
        <v>1957</v>
      </c>
      <c r="D745">
        <v>21</v>
      </c>
      <c r="E745" t="s">
        <v>1447</v>
      </c>
      <c r="F745" t="s">
        <v>1958</v>
      </c>
      <c r="G745" t="s">
        <v>1737</v>
      </c>
      <c r="H745" t="s">
        <v>2279</v>
      </c>
      <c r="I745" t="s">
        <v>2279</v>
      </c>
      <c r="J745" t="s">
        <v>2279</v>
      </c>
      <c r="K745" t="s">
        <v>2279</v>
      </c>
      <c r="L745" t="s">
        <v>1620</v>
      </c>
      <c r="M745" t="s">
        <v>2279</v>
      </c>
      <c r="N745" t="s">
        <v>2279</v>
      </c>
      <c r="O745" s="190" t="str">
        <f>"["&amp;$C745&amp;"]["&amp;$D745&amp;"]["&amp;$F745&amp;"]"</f>
        <v>[S06_AccredCertVerifiersAnnexI][21][AccredCertScope]</v>
      </c>
    </row>
    <row r="746" spans="1:15" x14ac:dyDescent="0.3">
      <c r="A746" t="s">
        <v>2277</v>
      </c>
      <c r="B746" t="s">
        <v>1951</v>
      </c>
      <c r="C746" t="s">
        <v>1957</v>
      </c>
      <c r="D746">
        <v>22</v>
      </c>
      <c r="E746" t="s">
        <v>1447</v>
      </c>
      <c r="F746" t="s">
        <v>1958</v>
      </c>
      <c r="G746" t="s">
        <v>1737</v>
      </c>
      <c r="H746" t="s">
        <v>2279</v>
      </c>
      <c r="I746" t="s">
        <v>2279</v>
      </c>
      <c r="J746" t="s">
        <v>2279</v>
      </c>
      <c r="K746" t="s">
        <v>2279</v>
      </c>
      <c r="L746" t="s">
        <v>1625</v>
      </c>
      <c r="M746" t="s">
        <v>2279</v>
      </c>
      <c r="N746" t="s">
        <v>2279</v>
      </c>
      <c r="O746" s="190" t="str">
        <f>"["&amp;$C746&amp;"]["&amp;$D746&amp;"]["&amp;$F746&amp;"]"</f>
        <v>[S06_AccredCertVerifiersAnnexI][22][AccredCertScope]</v>
      </c>
    </row>
    <row r="747" spans="1:15" x14ac:dyDescent="0.3">
      <c r="A747" t="s">
        <v>2277</v>
      </c>
      <c r="B747" t="s">
        <v>1951</v>
      </c>
      <c r="C747" t="s">
        <v>1957</v>
      </c>
      <c r="D747">
        <v>23</v>
      </c>
      <c r="E747" t="s">
        <v>1447</v>
      </c>
      <c r="F747" t="s">
        <v>1958</v>
      </c>
      <c r="G747" t="s">
        <v>1737</v>
      </c>
      <c r="H747" t="s">
        <v>2279</v>
      </c>
      <c r="I747" t="s">
        <v>2279</v>
      </c>
      <c r="J747" t="s">
        <v>2279</v>
      </c>
      <c r="K747" t="s">
        <v>2279</v>
      </c>
      <c r="L747" t="s">
        <v>1629</v>
      </c>
      <c r="M747" t="s">
        <v>2279</v>
      </c>
      <c r="N747" t="s">
        <v>2279</v>
      </c>
      <c r="O747" s="190" t="str">
        <f>"["&amp;$C747&amp;"]["&amp;$D747&amp;"]["&amp;$F747&amp;"]"</f>
        <v>[S06_AccredCertVerifiersAnnexI][23][AccredCertScope]</v>
      </c>
    </row>
    <row r="748" spans="1:15" x14ac:dyDescent="0.3">
      <c r="A748" t="s">
        <v>2277</v>
      </c>
      <c r="B748" t="s">
        <v>1951</v>
      </c>
      <c r="C748" t="s">
        <v>1957</v>
      </c>
      <c r="D748">
        <v>24</v>
      </c>
      <c r="E748" t="s">
        <v>1447</v>
      </c>
      <c r="F748" t="s">
        <v>1958</v>
      </c>
      <c r="G748" t="s">
        <v>1737</v>
      </c>
      <c r="H748" t="s">
        <v>2279</v>
      </c>
      <c r="I748" t="s">
        <v>2279</v>
      </c>
      <c r="J748" t="s">
        <v>2279</v>
      </c>
      <c r="K748" t="s">
        <v>2279</v>
      </c>
      <c r="L748" t="s">
        <v>1666</v>
      </c>
      <c r="M748" t="s">
        <v>2279</v>
      </c>
      <c r="N748" t="s">
        <v>2279</v>
      </c>
      <c r="O748" s="190" t="str">
        <f>"["&amp;$C748&amp;"]["&amp;$D748&amp;"]["&amp;$F748&amp;"]"</f>
        <v>[S06_AccredCertVerifiersAnnexI][24][AccredCertScope]</v>
      </c>
    </row>
    <row r="749" spans="1:15" x14ac:dyDescent="0.3">
      <c r="A749" t="s">
        <v>2277</v>
      </c>
      <c r="B749" t="s">
        <v>1951</v>
      </c>
      <c r="C749" t="s">
        <v>1957</v>
      </c>
      <c r="D749">
        <v>1</v>
      </c>
      <c r="E749" t="s">
        <v>1447</v>
      </c>
      <c r="F749" t="s">
        <v>1959</v>
      </c>
      <c r="G749" t="s">
        <v>1748</v>
      </c>
      <c r="H749" t="s">
        <v>2279</v>
      </c>
      <c r="I749">
        <v>3</v>
      </c>
      <c r="J749" t="s">
        <v>2279</v>
      </c>
      <c r="K749" t="s">
        <v>2279</v>
      </c>
      <c r="L749" t="s">
        <v>2279</v>
      </c>
      <c r="M749" t="s">
        <v>2279</v>
      </c>
      <c r="N749" t="s">
        <v>2279</v>
      </c>
      <c r="O749" s="190" t="str">
        <f>"["&amp;$C749&amp;"]["&amp;$D749&amp;"]["&amp;$F749&amp;"]"</f>
        <v>[S06_AccredCertVerifiersAnnexI][1][NumberAccredited]</v>
      </c>
    </row>
    <row r="750" spans="1:15" x14ac:dyDescent="0.3">
      <c r="A750" t="s">
        <v>2277</v>
      </c>
      <c r="B750" t="s">
        <v>1951</v>
      </c>
      <c r="C750" t="s">
        <v>1957</v>
      </c>
      <c r="D750">
        <v>2</v>
      </c>
      <c r="E750" t="s">
        <v>1447</v>
      </c>
      <c r="F750" t="s">
        <v>1959</v>
      </c>
      <c r="G750" t="s">
        <v>1748</v>
      </c>
      <c r="H750" t="s">
        <v>2279</v>
      </c>
      <c r="I750">
        <v>3</v>
      </c>
      <c r="J750" t="s">
        <v>2279</v>
      </c>
      <c r="K750" t="s">
        <v>2279</v>
      </c>
      <c r="L750" t="s">
        <v>2279</v>
      </c>
      <c r="M750" t="s">
        <v>2279</v>
      </c>
      <c r="N750" t="s">
        <v>2279</v>
      </c>
      <c r="O750" s="190" t="str">
        <f>"["&amp;$C750&amp;"]["&amp;$D750&amp;"]["&amp;$F750&amp;"]"</f>
        <v>[S06_AccredCertVerifiersAnnexI][2][NumberAccredited]</v>
      </c>
    </row>
    <row r="751" spans="1:15" x14ac:dyDescent="0.3">
      <c r="A751" t="s">
        <v>2277</v>
      </c>
      <c r="B751" t="s">
        <v>1951</v>
      </c>
      <c r="C751" t="s">
        <v>1957</v>
      </c>
      <c r="D751">
        <v>3</v>
      </c>
      <c r="E751" t="s">
        <v>1447</v>
      </c>
      <c r="F751" t="s">
        <v>1959</v>
      </c>
      <c r="G751" t="s">
        <v>1748</v>
      </c>
      <c r="H751" t="s">
        <v>2279</v>
      </c>
      <c r="I751">
        <v>2</v>
      </c>
      <c r="J751" t="s">
        <v>2279</v>
      </c>
      <c r="K751" t="s">
        <v>2279</v>
      </c>
      <c r="L751" t="s">
        <v>2279</v>
      </c>
      <c r="M751" t="s">
        <v>2279</v>
      </c>
      <c r="N751" t="s">
        <v>2279</v>
      </c>
      <c r="O751" s="190" t="str">
        <f>"["&amp;$C751&amp;"]["&amp;$D751&amp;"]["&amp;$F751&amp;"]"</f>
        <v>[S06_AccredCertVerifiersAnnexI][3][NumberAccredited]</v>
      </c>
    </row>
    <row r="752" spans="1:15" x14ac:dyDescent="0.3">
      <c r="A752" t="s">
        <v>2277</v>
      </c>
      <c r="B752" t="s">
        <v>1951</v>
      </c>
      <c r="C752" t="s">
        <v>1957</v>
      </c>
      <c r="D752">
        <v>4</v>
      </c>
      <c r="E752" t="s">
        <v>1447</v>
      </c>
      <c r="F752" t="s">
        <v>1959</v>
      </c>
      <c r="G752" t="s">
        <v>1748</v>
      </c>
      <c r="H752" t="s">
        <v>2279</v>
      </c>
      <c r="I752">
        <v>1</v>
      </c>
      <c r="J752" t="s">
        <v>2279</v>
      </c>
      <c r="K752" t="s">
        <v>2279</v>
      </c>
      <c r="L752" t="s">
        <v>2279</v>
      </c>
      <c r="M752" t="s">
        <v>2279</v>
      </c>
      <c r="N752" t="s">
        <v>2279</v>
      </c>
      <c r="O752" s="190" t="str">
        <f>"["&amp;$C752&amp;"]["&amp;$D752&amp;"]["&amp;$F752&amp;"]"</f>
        <v>[S06_AccredCertVerifiersAnnexI][4][NumberAccredited]</v>
      </c>
    </row>
    <row r="753" spans="1:15" x14ac:dyDescent="0.3">
      <c r="A753" t="s">
        <v>2277</v>
      </c>
      <c r="B753" t="s">
        <v>1951</v>
      </c>
      <c r="C753" t="s">
        <v>1957</v>
      </c>
      <c r="D753">
        <v>5</v>
      </c>
      <c r="E753" t="s">
        <v>1447</v>
      </c>
      <c r="F753" t="s">
        <v>1959</v>
      </c>
      <c r="G753" t="s">
        <v>1748</v>
      </c>
      <c r="H753" t="s">
        <v>2279</v>
      </c>
      <c r="I753">
        <v>1</v>
      </c>
      <c r="J753" t="s">
        <v>2279</v>
      </c>
      <c r="K753" t="s">
        <v>2279</v>
      </c>
      <c r="L753" t="s">
        <v>2279</v>
      </c>
      <c r="M753" t="s">
        <v>2279</v>
      </c>
      <c r="N753" t="s">
        <v>2279</v>
      </c>
      <c r="O753" s="190" t="str">
        <f>"["&amp;$C753&amp;"]["&amp;$D753&amp;"]["&amp;$F753&amp;"]"</f>
        <v>[S06_AccredCertVerifiersAnnexI][5][NumberAccredited]</v>
      </c>
    </row>
    <row r="754" spans="1:15" x14ac:dyDescent="0.3">
      <c r="A754" t="s">
        <v>2277</v>
      </c>
      <c r="B754" t="s">
        <v>1951</v>
      </c>
      <c r="C754" t="s">
        <v>1957</v>
      </c>
      <c r="D754">
        <v>6</v>
      </c>
      <c r="E754" t="s">
        <v>1447</v>
      </c>
      <c r="F754" t="s">
        <v>1959</v>
      </c>
      <c r="G754" t="s">
        <v>1748</v>
      </c>
      <c r="H754" t="s">
        <v>2279</v>
      </c>
      <c r="I754">
        <v>1</v>
      </c>
      <c r="J754" t="s">
        <v>2279</v>
      </c>
      <c r="K754" t="s">
        <v>2279</v>
      </c>
      <c r="L754" t="s">
        <v>2279</v>
      </c>
      <c r="M754" t="s">
        <v>2279</v>
      </c>
      <c r="N754" t="s">
        <v>2279</v>
      </c>
      <c r="O754" s="190" t="str">
        <f>"["&amp;$C754&amp;"]["&amp;$D754&amp;"]["&amp;$F754&amp;"]"</f>
        <v>[S06_AccredCertVerifiersAnnexI][6][NumberAccredited]</v>
      </c>
    </row>
    <row r="755" spans="1:15" x14ac:dyDescent="0.3">
      <c r="A755" t="s">
        <v>2277</v>
      </c>
      <c r="B755" t="s">
        <v>1951</v>
      </c>
      <c r="C755" t="s">
        <v>1957</v>
      </c>
      <c r="D755">
        <v>7</v>
      </c>
      <c r="E755" t="s">
        <v>1447</v>
      </c>
      <c r="F755" t="s">
        <v>1959</v>
      </c>
      <c r="G755" t="s">
        <v>1748</v>
      </c>
      <c r="H755" t="s">
        <v>2279</v>
      </c>
      <c r="I755">
        <v>2</v>
      </c>
      <c r="J755" t="s">
        <v>2279</v>
      </c>
      <c r="K755" t="s">
        <v>2279</v>
      </c>
      <c r="L755" t="s">
        <v>2279</v>
      </c>
      <c r="M755" t="s">
        <v>2279</v>
      </c>
      <c r="N755" t="s">
        <v>2279</v>
      </c>
      <c r="O755" s="190" t="str">
        <f>"["&amp;$C755&amp;"]["&amp;$D755&amp;"]["&amp;$F755&amp;"]"</f>
        <v>[S06_AccredCertVerifiersAnnexI][7][NumberAccredited]</v>
      </c>
    </row>
    <row r="756" spans="1:15" x14ac:dyDescent="0.3">
      <c r="A756" t="s">
        <v>2277</v>
      </c>
      <c r="B756" t="s">
        <v>1951</v>
      </c>
      <c r="C756" t="s">
        <v>1957</v>
      </c>
      <c r="D756">
        <v>8</v>
      </c>
      <c r="E756" t="s">
        <v>1447</v>
      </c>
      <c r="F756" t="s">
        <v>1959</v>
      </c>
      <c r="G756" t="s">
        <v>1748</v>
      </c>
      <c r="H756" t="s">
        <v>2279</v>
      </c>
      <c r="I756">
        <v>2</v>
      </c>
      <c r="J756" t="s">
        <v>2279</v>
      </c>
      <c r="K756" t="s">
        <v>2279</v>
      </c>
      <c r="L756" t="s">
        <v>2279</v>
      </c>
      <c r="M756" t="s">
        <v>2279</v>
      </c>
      <c r="N756" t="s">
        <v>2279</v>
      </c>
      <c r="O756" s="190" t="str">
        <f>"["&amp;$C756&amp;"]["&amp;$D756&amp;"]["&amp;$F756&amp;"]"</f>
        <v>[S06_AccredCertVerifiersAnnexI][8][NumberAccredited]</v>
      </c>
    </row>
    <row r="757" spans="1:15" x14ac:dyDescent="0.3">
      <c r="A757" t="s">
        <v>2277</v>
      </c>
      <c r="B757" t="s">
        <v>1951</v>
      </c>
      <c r="C757" t="s">
        <v>1957</v>
      </c>
      <c r="D757">
        <v>9</v>
      </c>
      <c r="E757" t="s">
        <v>1447</v>
      </c>
      <c r="F757" t="s">
        <v>1959</v>
      </c>
      <c r="G757" t="s">
        <v>1748</v>
      </c>
      <c r="H757" t="s">
        <v>2279</v>
      </c>
      <c r="I757">
        <v>2</v>
      </c>
      <c r="J757" t="s">
        <v>2279</v>
      </c>
      <c r="K757" t="s">
        <v>2279</v>
      </c>
      <c r="L757" t="s">
        <v>2279</v>
      </c>
      <c r="M757" t="s">
        <v>2279</v>
      </c>
      <c r="N757" t="s">
        <v>2279</v>
      </c>
      <c r="O757" s="190" t="str">
        <f>"["&amp;$C757&amp;"]["&amp;$D757&amp;"]["&amp;$F757&amp;"]"</f>
        <v>[S06_AccredCertVerifiersAnnexI][9][NumberAccredited]</v>
      </c>
    </row>
    <row r="758" spans="1:15" x14ac:dyDescent="0.3">
      <c r="A758" t="s">
        <v>2277</v>
      </c>
      <c r="B758" t="s">
        <v>1951</v>
      </c>
      <c r="C758" t="s">
        <v>1957</v>
      </c>
      <c r="D758">
        <v>10</v>
      </c>
      <c r="E758" t="s">
        <v>1447</v>
      </c>
      <c r="F758" t="s">
        <v>1959</v>
      </c>
      <c r="G758" t="s">
        <v>1748</v>
      </c>
      <c r="H758" t="s">
        <v>2279</v>
      </c>
      <c r="I758">
        <v>1</v>
      </c>
      <c r="J758" t="s">
        <v>2279</v>
      </c>
      <c r="K758" t="s">
        <v>2279</v>
      </c>
      <c r="L758" t="s">
        <v>2279</v>
      </c>
      <c r="M758" t="s">
        <v>2279</v>
      </c>
      <c r="N758" t="s">
        <v>2279</v>
      </c>
      <c r="O758" s="190" t="str">
        <f>"["&amp;$C758&amp;"]["&amp;$D758&amp;"]["&amp;$F758&amp;"]"</f>
        <v>[S06_AccredCertVerifiersAnnexI][10][NumberAccredited]</v>
      </c>
    </row>
    <row r="759" spans="1:15" x14ac:dyDescent="0.3">
      <c r="A759" t="s">
        <v>2277</v>
      </c>
      <c r="B759" t="s">
        <v>1951</v>
      </c>
      <c r="C759" t="s">
        <v>1957</v>
      </c>
      <c r="D759">
        <v>11</v>
      </c>
      <c r="E759" t="s">
        <v>1447</v>
      </c>
      <c r="F759" t="s">
        <v>1959</v>
      </c>
      <c r="G759" t="s">
        <v>1748</v>
      </c>
      <c r="H759" t="s">
        <v>2279</v>
      </c>
      <c r="I759">
        <v>3</v>
      </c>
      <c r="J759" t="s">
        <v>2279</v>
      </c>
      <c r="K759" t="s">
        <v>2279</v>
      </c>
      <c r="L759" t="s">
        <v>2279</v>
      </c>
      <c r="M759" t="s">
        <v>2279</v>
      </c>
      <c r="N759" t="s">
        <v>2279</v>
      </c>
      <c r="O759" s="190" t="str">
        <f>"["&amp;$C759&amp;"]["&amp;$D759&amp;"]["&amp;$F759&amp;"]"</f>
        <v>[S06_AccredCertVerifiersAnnexI][11][NumberAccredited]</v>
      </c>
    </row>
    <row r="760" spans="1:15" x14ac:dyDescent="0.3">
      <c r="A760" t="s">
        <v>2277</v>
      </c>
      <c r="B760" t="s">
        <v>1951</v>
      </c>
      <c r="C760" t="s">
        <v>1957</v>
      </c>
      <c r="D760">
        <v>12</v>
      </c>
      <c r="E760" t="s">
        <v>1447</v>
      </c>
      <c r="F760" t="s">
        <v>1959</v>
      </c>
      <c r="G760" t="s">
        <v>1748</v>
      </c>
      <c r="H760" t="s">
        <v>2279</v>
      </c>
      <c r="I760">
        <v>3</v>
      </c>
      <c r="J760" t="s">
        <v>2279</v>
      </c>
      <c r="K760" t="s">
        <v>2279</v>
      </c>
      <c r="L760" t="s">
        <v>2279</v>
      </c>
      <c r="M760" t="s">
        <v>2279</v>
      </c>
      <c r="N760" t="s">
        <v>2279</v>
      </c>
      <c r="O760" s="190" t="str">
        <f>"["&amp;$C760&amp;"]["&amp;$D760&amp;"]["&amp;$F760&amp;"]"</f>
        <v>[S06_AccredCertVerifiersAnnexI][12][NumberAccredited]</v>
      </c>
    </row>
    <row r="761" spans="1:15" x14ac:dyDescent="0.3">
      <c r="A761" t="s">
        <v>2277</v>
      </c>
      <c r="B761" t="s">
        <v>1951</v>
      </c>
      <c r="C761" t="s">
        <v>1957</v>
      </c>
      <c r="D761">
        <v>13</v>
      </c>
      <c r="E761" t="s">
        <v>1447</v>
      </c>
      <c r="F761" t="s">
        <v>1959</v>
      </c>
      <c r="G761" t="s">
        <v>1748</v>
      </c>
      <c r="H761" t="s">
        <v>2279</v>
      </c>
      <c r="I761">
        <v>3</v>
      </c>
      <c r="J761" t="s">
        <v>2279</v>
      </c>
      <c r="K761" t="s">
        <v>2279</v>
      </c>
      <c r="L761" t="s">
        <v>2279</v>
      </c>
      <c r="M761" t="s">
        <v>2279</v>
      </c>
      <c r="N761" t="s">
        <v>2279</v>
      </c>
      <c r="O761" s="190" t="str">
        <f>"["&amp;$C761&amp;"]["&amp;$D761&amp;"]["&amp;$F761&amp;"]"</f>
        <v>[S06_AccredCertVerifiersAnnexI][13][NumberAccredited]</v>
      </c>
    </row>
    <row r="762" spans="1:15" x14ac:dyDescent="0.3">
      <c r="A762" t="s">
        <v>2277</v>
      </c>
      <c r="B762" t="s">
        <v>1951</v>
      </c>
      <c r="C762" t="s">
        <v>1957</v>
      </c>
      <c r="D762">
        <v>14</v>
      </c>
      <c r="E762" t="s">
        <v>1447</v>
      </c>
      <c r="F762" t="s">
        <v>1959</v>
      </c>
      <c r="G762" t="s">
        <v>1748</v>
      </c>
      <c r="H762" t="s">
        <v>2279</v>
      </c>
      <c r="I762">
        <v>3</v>
      </c>
      <c r="J762" t="s">
        <v>2279</v>
      </c>
      <c r="K762" t="s">
        <v>2279</v>
      </c>
      <c r="L762" t="s">
        <v>2279</v>
      </c>
      <c r="M762" t="s">
        <v>2279</v>
      </c>
      <c r="N762" t="s">
        <v>2279</v>
      </c>
      <c r="O762" s="190" t="str">
        <f>"["&amp;$C762&amp;"]["&amp;$D762&amp;"]["&amp;$F762&amp;"]"</f>
        <v>[S06_AccredCertVerifiersAnnexI][14][NumberAccredited]</v>
      </c>
    </row>
    <row r="763" spans="1:15" x14ac:dyDescent="0.3">
      <c r="A763" t="s">
        <v>2277</v>
      </c>
      <c r="B763" t="s">
        <v>1951</v>
      </c>
      <c r="C763" t="s">
        <v>1957</v>
      </c>
      <c r="D763">
        <v>15</v>
      </c>
      <c r="E763" t="s">
        <v>1447</v>
      </c>
      <c r="F763" t="s">
        <v>1959</v>
      </c>
      <c r="G763" t="s">
        <v>1748</v>
      </c>
      <c r="H763" t="s">
        <v>2279</v>
      </c>
      <c r="I763">
        <v>3</v>
      </c>
      <c r="J763" t="s">
        <v>2279</v>
      </c>
      <c r="K763" t="s">
        <v>2279</v>
      </c>
      <c r="L763" t="s">
        <v>2279</v>
      </c>
      <c r="M763" t="s">
        <v>2279</v>
      </c>
      <c r="N763" t="s">
        <v>2279</v>
      </c>
      <c r="O763" s="190" t="str">
        <f>"["&amp;$C763&amp;"]["&amp;$D763&amp;"]["&amp;$F763&amp;"]"</f>
        <v>[S06_AccredCertVerifiersAnnexI][15][NumberAccredited]</v>
      </c>
    </row>
    <row r="764" spans="1:15" x14ac:dyDescent="0.3">
      <c r="A764" t="s">
        <v>2277</v>
      </c>
      <c r="B764" t="s">
        <v>1951</v>
      </c>
      <c r="C764" t="s">
        <v>1957</v>
      </c>
      <c r="D764">
        <v>16</v>
      </c>
      <c r="E764" t="s">
        <v>1447</v>
      </c>
      <c r="F764" t="s">
        <v>1959</v>
      </c>
      <c r="G764" t="s">
        <v>1748</v>
      </c>
      <c r="H764" t="s">
        <v>2279</v>
      </c>
      <c r="I764">
        <v>3</v>
      </c>
      <c r="J764" t="s">
        <v>2279</v>
      </c>
      <c r="K764" t="s">
        <v>2279</v>
      </c>
      <c r="L764" t="s">
        <v>2279</v>
      </c>
      <c r="M764" t="s">
        <v>2279</v>
      </c>
      <c r="N764" t="s">
        <v>2279</v>
      </c>
      <c r="O764" s="190" t="str">
        <f>"["&amp;$C764&amp;"]["&amp;$D764&amp;"]["&amp;$F764&amp;"]"</f>
        <v>[S06_AccredCertVerifiersAnnexI][16][NumberAccredited]</v>
      </c>
    </row>
    <row r="765" spans="1:15" x14ac:dyDescent="0.3">
      <c r="A765" t="s">
        <v>2277</v>
      </c>
      <c r="B765" t="s">
        <v>1951</v>
      </c>
      <c r="C765" t="s">
        <v>1957</v>
      </c>
      <c r="D765">
        <v>17</v>
      </c>
      <c r="E765" t="s">
        <v>1447</v>
      </c>
      <c r="F765" t="s">
        <v>1959</v>
      </c>
      <c r="G765" t="s">
        <v>1748</v>
      </c>
      <c r="H765" t="s">
        <v>2279</v>
      </c>
      <c r="I765">
        <v>2</v>
      </c>
      <c r="J765" t="s">
        <v>2279</v>
      </c>
      <c r="K765" t="s">
        <v>2279</v>
      </c>
      <c r="L765" t="s">
        <v>2279</v>
      </c>
      <c r="M765" t="s">
        <v>2279</v>
      </c>
      <c r="N765" t="s">
        <v>2279</v>
      </c>
      <c r="O765" s="190" t="str">
        <f>"["&amp;$C765&amp;"]["&amp;$D765&amp;"]["&amp;$F765&amp;"]"</f>
        <v>[S06_AccredCertVerifiersAnnexI][17][NumberAccredited]</v>
      </c>
    </row>
    <row r="766" spans="1:15" x14ac:dyDescent="0.3">
      <c r="A766" t="s">
        <v>2277</v>
      </c>
      <c r="B766" t="s">
        <v>1951</v>
      </c>
      <c r="C766" t="s">
        <v>1957</v>
      </c>
      <c r="D766">
        <v>18</v>
      </c>
      <c r="E766" t="s">
        <v>1447</v>
      </c>
      <c r="F766" t="s">
        <v>1959</v>
      </c>
      <c r="G766" t="s">
        <v>1748</v>
      </c>
      <c r="H766" t="s">
        <v>2279</v>
      </c>
      <c r="I766">
        <v>2</v>
      </c>
      <c r="J766" t="s">
        <v>2279</v>
      </c>
      <c r="K766" t="s">
        <v>2279</v>
      </c>
      <c r="L766" t="s">
        <v>2279</v>
      </c>
      <c r="M766" t="s">
        <v>2279</v>
      </c>
      <c r="N766" t="s">
        <v>2279</v>
      </c>
      <c r="O766" s="190" t="str">
        <f>"["&amp;$C766&amp;"]["&amp;$D766&amp;"]["&amp;$F766&amp;"]"</f>
        <v>[S06_AccredCertVerifiersAnnexI][18][NumberAccredited]</v>
      </c>
    </row>
    <row r="767" spans="1:15" x14ac:dyDescent="0.3">
      <c r="A767" t="s">
        <v>2277</v>
      </c>
      <c r="B767" t="s">
        <v>1951</v>
      </c>
      <c r="C767" t="s">
        <v>1957</v>
      </c>
      <c r="D767">
        <v>19</v>
      </c>
      <c r="E767" t="s">
        <v>1447</v>
      </c>
      <c r="F767" t="s">
        <v>1959</v>
      </c>
      <c r="G767" t="s">
        <v>1748</v>
      </c>
      <c r="H767" t="s">
        <v>2279</v>
      </c>
      <c r="I767">
        <v>1</v>
      </c>
      <c r="J767" t="s">
        <v>2279</v>
      </c>
      <c r="K767" t="s">
        <v>2279</v>
      </c>
      <c r="L767" t="s">
        <v>2279</v>
      </c>
      <c r="M767" t="s">
        <v>2279</v>
      </c>
      <c r="N767" t="s">
        <v>2279</v>
      </c>
      <c r="O767" s="190" t="str">
        <f>"["&amp;$C767&amp;"]["&amp;$D767&amp;"]["&amp;$F767&amp;"]"</f>
        <v>[S06_AccredCertVerifiersAnnexI][19][NumberAccredited]</v>
      </c>
    </row>
    <row r="768" spans="1:15" x14ac:dyDescent="0.3">
      <c r="A768" t="s">
        <v>2277</v>
      </c>
      <c r="B768" t="s">
        <v>1951</v>
      </c>
      <c r="C768" t="s">
        <v>1957</v>
      </c>
      <c r="D768">
        <v>20</v>
      </c>
      <c r="E768" t="s">
        <v>1447</v>
      </c>
      <c r="F768" t="s">
        <v>1959</v>
      </c>
      <c r="G768" t="s">
        <v>1748</v>
      </c>
      <c r="H768" t="s">
        <v>2279</v>
      </c>
      <c r="I768">
        <v>1</v>
      </c>
      <c r="J768" t="s">
        <v>2279</v>
      </c>
      <c r="K768" t="s">
        <v>2279</v>
      </c>
      <c r="L768" t="s">
        <v>2279</v>
      </c>
      <c r="M768" t="s">
        <v>2279</v>
      </c>
      <c r="N768" t="s">
        <v>2279</v>
      </c>
      <c r="O768" s="190" t="str">
        <f>"["&amp;$C768&amp;"]["&amp;$D768&amp;"]["&amp;$F768&amp;"]"</f>
        <v>[S06_AccredCertVerifiersAnnexI][20][NumberAccredited]</v>
      </c>
    </row>
    <row r="769" spans="1:15" x14ac:dyDescent="0.3">
      <c r="A769" t="s">
        <v>2277</v>
      </c>
      <c r="B769" t="s">
        <v>1951</v>
      </c>
      <c r="C769" t="s">
        <v>1957</v>
      </c>
      <c r="D769">
        <v>21</v>
      </c>
      <c r="E769" t="s">
        <v>1447</v>
      </c>
      <c r="F769" t="s">
        <v>1959</v>
      </c>
      <c r="G769" t="s">
        <v>1748</v>
      </c>
      <c r="H769" t="s">
        <v>2279</v>
      </c>
      <c r="I769">
        <v>1</v>
      </c>
      <c r="J769" t="s">
        <v>2279</v>
      </c>
      <c r="K769" t="s">
        <v>2279</v>
      </c>
      <c r="L769" t="s">
        <v>2279</v>
      </c>
      <c r="M769" t="s">
        <v>2279</v>
      </c>
      <c r="N769" t="s">
        <v>2279</v>
      </c>
      <c r="O769" s="190" t="str">
        <f>"["&amp;$C769&amp;"]["&amp;$D769&amp;"]["&amp;$F769&amp;"]"</f>
        <v>[S06_AccredCertVerifiersAnnexI][21][NumberAccredited]</v>
      </c>
    </row>
    <row r="770" spans="1:15" x14ac:dyDescent="0.3">
      <c r="A770" t="s">
        <v>2277</v>
      </c>
      <c r="B770" t="s">
        <v>1951</v>
      </c>
      <c r="C770" t="s">
        <v>1957</v>
      </c>
      <c r="D770">
        <v>22</v>
      </c>
      <c r="E770" t="s">
        <v>1447</v>
      </c>
      <c r="F770" t="s">
        <v>1959</v>
      </c>
      <c r="G770" t="s">
        <v>1748</v>
      </c>
      <c r="H770" t="s">
        <v>2279</v>
      </c>
      <c r="I770">
        <v>1</v>
      </c>
      <c r="J770" t="s">
        <v>2279</v>
      </c>
      <c r="K770" t="s">
        <v>2279</v>
      </c>
      <c r="L770" t="s">
        <v>2279</v>
      </c>
      <c r="M770" t="s">
        <v>2279</v>
      </c>
      <c r="N770" t="s">
        <v>2279</v>
      </c>
      <c r="O770" s="190" t="str">
        <f>"["&amp;$C770&amp;"]["&amp;$D770&amp;"]["&amp;$F770&amp;"]"</f>
        <v>[S06_AccredCertVerifiersAnnexI][22][NumberAccredited]</v>
      </c>
    </row>
    <row r="771" spans="1:15" x14ac:dyDescent="0.3">
      <c r="A771" t="s">
        <v>2277</v>
      </c>
      <c r="B771" t="s">
        <v>1951</v>
      </c>
      <c r="C771" t="s">
        <v>1957</v>
      </c>
      <c r="D771">
        <v>23</v>
      </c>
      <c r="E771" t="s">
        <v>1447</v>
      </c>
      <c r="F771" t="s">
        <v>1959</v>
      </c>
      <c r="G771" t="s">
        <v>1748</v>
      </c>
      <c r="H771" t="s">
        <v>2279</v>
      </c>
      <c r="I771">
        <v>1</v>
      </c>
      <c r="J771" t="s">
        <v>2279</v>
      </c>
      <c r="K771" t="s">
        <v>2279</v>
      </c>
      <c r="L771" t="s">
        <v>2279</v>
      </c>
      <c r="M771" t="s">
        <v>2279</v>
      </c>
      <c r="N771" t="s">
        <v>2279</v>
      </c>
      <c r="O771" s="190" t="str">
        <f>"["&amp;$C771&amp;"]["&amp;$D771&amp;"]["&amp;$F771&amp;"]"</f>
        <v>[S06_AccredCertVerifiersAnnexI][23][NumberAccredited]</v>
      </c>
    </row>
    <row r="772" spans="1:15" x14ac:dyDescent="0.3">
      <c r="A772" t="s">
        <v>2277</v>
      </c>
      <c r="B772" t="s">
        <v>1951</v>
      </c>
      <c r="C772" t="s">
        <v>1957</v>
      </c>
      <c r="D772">
        <v>24</v>
      </c>
      <c r="E772" t="s">
        <v>1447</v>
      </c>
      <c r="F772" t="s">
        <v>1959</v>
      </c>
      <c r="G772" t="s">
        <v>1748</v>
      </c>
      <c r="H772" t="s">
        <v>2279</v>
      </c>
      <c r="I772">
        <v>3</v>
      </c>
      <c r="J772" t="s">
        <v>2279</v>
      </c>
      <c r="K772" t="s">
        <v>2279</v>
      </c>
      <c r="L772" t="s">
        <v>2279</v>
      </c>
      <c r="M772" t="s">
        <v>2279</v>
      </c>
      <c r="N772" t="s">
        <v>2279</v>
      </c>
      <c r="O772" s="190" t="str">
        <f>"["&amp;$C772&amp;"]["&amp;$D772&amp;"]["&amp;$F772&amp;"]"</f>
        <v>[S06_AccredCertVerifiersAnnexI][24][NumberAccredited]</v>
      </c>
    </row>
    <row r="773" spans="1:15" x14ac:dyDescent="0.3">
      <c r="A773" t="s">
        <v>2277</v>
      </c>
      <c r="B773" t="s">
        <v>1951</v>
      </c>
      <c r="C773" t="s">
        <v>1957</v>
      </c>
      <c r="D773">
        <v>1</v>
      </c>
      <c r="E773" t="s">
        <v>1447</v>
      </c>
      <c r="F773" t="s">
        <v>1960</v>
      </c>
      <c r="G773" t="s">
        <v>1748</v>
      </c>
      <c r="H773" t="s">
        <v>2279</v>
      </c>
      <c r="I773">
        <v>0</v>
      </c>
      <c r="J773" t="s">
        <v>2279</v>
      </c>
      <c r="K773" t="s">
        <v>2279</v>
      </c>
      <c r="L773" t="s">
        <v>2279</v>
      </c>
      <c r="M773" t="s">
        <v>2279</v>
      </c>
      <c r="N773" t="s">
        <v>2279</v>
      </c>
      <c r="O773" s="190" t="str">
        <f>"["&amp;$C773&amp;"]["&amp;$D773&amp;"]["&amp;$F773&amp;"]"</f>
        <v>[S06_AccredCertVerifiersAnnexI][1][NumberCertified]</v>
      </c>
    </row>
    <row r="774" spans="1:15" x14ac:dyDescent="0.3">
      <c r="A774" t="s">
        <v>2277</v>
      </c>
      <c r="B774" t="s">
        <v>1951</v>
      </c>
      <c r="C774" t="s">
        <v>1957</v>
      </c>
      <c r="D774">
        <v>2</v>
      </c>
      <c r="E774" t="s">
        <v>1447</v>
      </c>
      <c r="F774" t="s">
        <v>1960</v>
      </c>
      <c r="G774" t="s">
        <v>1748</v>
      </c>
      <c r="H774" t="s">
        <v>2279</v>
      </c>
      <c r="I774">
        <v>0</v>
      </c>
      <c r="J774" t="s">
        <v>2279</v>
      </c>
      <c r="K774" t="s">
        <v>2279</v>
      </c>
      <c r="L774" t="s">
        <v>2279</v>
      </c>
      <c r="M774" t="s">
        <v>2279</v>
      </c>
      <c r="N774" t="s">
        <v>2279</v>
      </c>
      <c r="O774" s="190" t="str">
        <f>"["&amp;$C774&amp;"]["&amp;$D774&amp;"]["&amp;$F774&amp;"]"</f>
        <v>[S06_AccredCertVerifiersAnnexI][2][NumberCertified]</v>
      </c>
    </row>
    <row r="775" spans="1:15" x14ac:dyDescent="0.3">
      <c r="A775" t="s">
        <v>2277</v>
      </c>
      <c r="B775" t="s">
        <v>1951</v>
      </c>
      <c r="C775" t="s">
        <v>1957</v>
      </c>
      <c r="D775">
        <v>3</v>
      </c>
      <c r="E775" t="s">
        <v>1447</v>
      </c>
      <c r="F775" t="s">
        <v>1960</v>
      </c>
      <c r="G775" t="s">
        <v>1748</v>
      </c>
      <c r="H775" t="s">
        <v>2279</v>
      </c>
      <c r="I775">
        <v>0</v>
      </c>
      <c r="J775" t="s">
        <v>2279</v>
      </c>
      <c r="K775" t="s">
        <v>2279</v>
      </c>
      <c r="L775" t="s">
        <v>2279</v>
      </c>
      <c r="M775" t="s">
        <v>2279</v>
      </c>
      <c r="N775" t="s">
        <v>2279</v>
      </c>
      <c r="O775" s="190" t="str">
        <f>"["&amp;$C775&amp;"]["&amp;$D775&amp;"]["&amp;$F775&amp;"]"</f>
        <v>[S06_AccredCertVerifiersAnnexI][3][NumberCertified]</v>
      </c>
    </row>
    <row r="776" spans="1:15" x14ac:dyDescent="0.3">
      <c r="A776" t="s">
        <v>2277</v>
      </c>
      <c r="B776" t="s">
        <v>1951</v>
      </c>
      <c r="C776" t="s">
        <v>1957</v>
      </c>
      <c r="D776">
        <v>4</v>
      </c>
      <c r="E776" t="s">
        <v>1447</v>
      </c>
      <c r="F776" t="s">
        <v>1960</v>
      </c>
      <c r="G776" t="s">
        <v>1748</v>
      </c>
      <c r="H776" t="s">
        <v>2279</v>
      </c>
      <c r="I776">
        <v>0</v>
      </c>
      <c r="J776" t="s">
        <v>2279</v>
      </c>
      <c r="K776" t="s">
        <v>2279</v>
      </c>
      <c r="L776" t="s">
        <v>2279</v>
      </c>
      <c r="M776" t="s">
        <v>2279</v>
      </c>
      <c r="N776" t="s">
        <v>2279</v>
      </c>
      <c r="O776" s="190" t="str">
        <f>"["&amp;$C776&amp;"]["&amp;$D776&amp;"]["&amp;$F776&amp;"]"</f>
        <v>[S06_AccredCertVerifiersAnnexI][4][NumberCertified]</v>
      </c>
    </row>
    <row r="777" spans="1:15" x14ac:dyDescent="0.3">
      <c r="A777" t="s">
        <v>2277</v>
      </c>
      <c r="B777" t="s">
        <v>1951</v>
      </c>
      <c r="C777" t="s">
        <v>1957</v>
      </c>
      <c r="D777">
        <v>5</v>
      </c>
      <c r="E777" t="s">
        <v>1447</v>
      </c>
      <c r="F777" t="s">
        <v>1960</v>
      </c>
      <c r="G777" t="s">
        <v>1748</v>
      </c>
      <c r="H777" t="s">
        <v>2279</v>
      </c>
      <c r="I777">
        <v>0</v>
      </c>
      <c r="J777" t="s">
        <v>2279</v>
      </c>
      <c r="K777" t="s">
        <v>2279</v>
      </c>
      <c r="L777" t="s">
        <v>2279</v>
      </c>
      <c r="M777" t="s">
        <v>2279</v>
      </c>
      <c r="N777" t="s">
        <v>2279</v>
      </c>
      <c r="O777" s="190" t="str">
        <f>"["&amp;$C777&amp;"]["&amp;$D777&amp;"]["&amp;$F777&amp;"]"</f>
        <v>[S06_AccredCertVerifiersAnnexI][5][NumberCertified]</v>
      </c>
    </row>
    <row r="778" spans="1:15" x14ac:dyDescent="0.3">
      <c r="A778" t="s">
        <v>2277</v>
      </c>
      <c r="B778" t="s">
        <v>1951</v>
      </c>
      <c r="C778" t="s">
        <v>1957</v>
      </c>
      <c r="D778">
        <v>6</v>
      </c>
      <c r="E778" t="s">
        <v>1447</v>
      </c>
      <c r="F778" t="s">
        <v>1960</v>
      </c>
      <c r="G778" t="s">
        <v>1748</v>
      </c>
      <c r="H778" t="s">
        <v>2279</v>
      </c>
      <c r="I778">
        <v>0</v>
      </c>
      <c r="J778" t="s">
        <v>2279</v>
      </c>
      <c r="K778" t="s">
        <v>2279</v>
      </c>
      <c r="L778" t="s">
        <v>2279</v>
      </c>
      <c r="M778" t="s">
        <v>2279</v>
      </c>
      <c r="N778" t="s">
        <v>2279</v>
      </c>
      <c r="O778" s="190" t="str">
        <f>"["&amp;$C778&amp;"]["&amp;$D778&amp;"]["&amp;$F778&amp;"]"</f>
        <v>[S06_AccredCertVerifiersAnnexI][6][NumberCertified]</v>
      </c>
    </row>
    <row r="779" spans="1:15" x14ac:dyDescent="0.3">
      <c r="A779" t="s">
        <v>2277</v>
      </c>
      <c r="B779" t="s">
        <v>1951</v>
      </c>
      <c r="C779" t="s">
        <v>1957</v>
      </c>
      <c r="D779">
        <v>7</v>
      </c>
      <c r="E779" t="s">
        <v>1447</v>
      </c>
      <c r="F779" t="s">
        <v>1960</v>
      </c>
      <c r="G779" t="s">
        <v>1748</v>
      </c>
      <c r="H779" t="s">
        <v>2279</v>
      </c>
      <c r="I779">
        <v>0</v>
      </c>
      <c r="J779" t="s">
        <v>2279</v>
      </c>
      <c r="K779" t="s">
        <v>2279</v>
      </c>
      <c r="L779" t="s">
        <v>2279</v>
      </c>
      <c r="M779" t="s">
        <v>2279</v>
      </c>
      <c r="N779" t="s">
        <v>2279</v>
      </c>
      <c r="O779" s="190" t="str">
        <f>"["&amp;$C779&amp;"]["&amp;$D779&amp;"]["&amp;$F779&amp;"]"</f>
        <v>[S06_AccredCertVerifiersAnnexI][7][NumberCertified]</v>
      </c>
    </row>
    <row r="780" spans="1:15" x14ac:dyDescent="0.3">
      <c r="A780" t="s">
        <v>2277</v>
      </c>
      <c r="B780" t="s">
        <v>1951</v>
      </c>
      <c r="C780" t="s">
        <v>1957</v>
      </c>
      <c r="D780">
        <v>8</v>
      </c>
      <c r="E780" t="s">
        <v>1447</v>
      </c>
      <c r="F780" t="s">
        <v>1960</v>
      </c>
      <c r="G780" t="s">
        <v>1748</v>
      </c>
      <c r="H780" t="s">
        <v>2279</v>
      </c>
      <c r="I780">
        <v>0</v>
      </c>
      <c r="J780" t="s">
        <v>2279</v>
      </c>
      <c r="K780" t="s">
        <v>2279</v>
      </c>
      <c r="L780" t="s">
        <v>2279</v>
      </c>
      <c r="M780" t="s">
        <v>2279</v>
      </c>
      <c r="N780" t="s">
        <v>2279</v>
      </c>
      <c r="O780" s="190" t="str">
        <f>"["&amp;$C780&amp;"]["&amp;$D780&amp;"]["&amp;$F780&amp;"]"</f>
        <v>[S06_AccredCertVerifiersAnnexI][8][NumberCertified]</v>
      </c>
    </row>
    <row r="781" spans="1:15" x14ac:dyDescent="0.3">
      <c r="A781" t="s">
        <v>2277</v>
      </c>
      <c r="B781" t="s">
        <v>1951</v>
      </c>
      <c r="C781" t="s">
        <v>1957</v>
      </c>
      <c r="D781">
        <v>9</v>
      </c>
      <c r="E781" t="s">
        <v>1447</v>
      </c>
      <c r="F781" t="s">
        <v>1960</v>
      </c>
      <c r="G781" t="s">
        <v>1748</v>
      </c>
      <c r="H781" t="s">
        <v>2279</v>
      </c>
      <c r="I781">
        <v>0</v>
      </c>
      <c r="J781" t="s">
        <v>2279</v>
      </c>
      <c r="K781" t="s">
        <v>2279</v>
      </c>
      <c r="L781" t="s">
        <v>2279</v>
      </c>
      <c r="M781" t="s">
        <v>2279</v>
      </c>
      <c r="N781" t="s">
        <v>2279</v>
      </c>
      <c r="O781" s="190" t="str">
        <f>"["&amp;$C781&amp;"]["&amp;$D781&amp;"]["&amp;$F781&amp;"]"</f>
        <v>[S06_AccredCertVerifiersAnnexI][9][NumberCertified]</v>
      </c>
    </row>
    <row r="782" spans="1:15" x14ac:dyDescent="0.3">
      <c r="A782" t="s">
        <v>2277</v>
      </c>
      <c r="B782" t="s">
        <v>1951</v>
      </c>
      <c r="C782" t="s">
        <v>1957</v>
      </c>
      <c r="D782">
        <v>10</v>
      </c>
      <c r="E782" t="s">
        <v>1447</v>
      </c>
      <c r="F782" t="s">
        <v>1960</v>
      </c>
      <c r="G782" t="s">
        <v>1748</v>
      </c>
      <c r="H782" t="s">
        <v>2279</v>
      </c>
      <c r="I782">
        <v>0</v>
      </c>
      <c r="J782" t="s">
        <v>2279</v>
      </c>
      <c r="K782" t="s">
        <v>2279</v>
      </c>
      <c r="L782" t="s">
        <v>2279</v>
      </c>
      <c r="M782" t="s">
        <v>2279</v>
      </c>
      <c r="N782" t="s">
        <v>2279</v>
      </c>
      <c r="O782" s="190" t="str">
        <f>"["&amp;$C782&amp;"]["&amp;$D782&amp;"]["&amp;$F782&amp;"]"</f>
        <v>[S06_AccredCertVerifiersAnnexI][10][NumberCertified]</v>
      </c>
    </row>
    <row r="783" spans="1:15" x14ac:dyDescent="0.3">
      <c r="A783" t="s">
        <v>2277</v>
      </c>
      <c r="B783" t="s">
        <v>1951</v>
      </c>
      <c r="C783" t="s">
        <v>1957</v>
      </c>
      <c r="D783">
        <v>11</v>
      </c>
      <c r="E783" t="s">
        <v>1447</v>
      </c>
      <c r="F783" t="s">
        <v>1960</v>
      </c>
      <c r="G783" t="s">
        <v>1748</v>
      </c>
      <c r="H783" t="s">
        <v>2279</v>
      </c>
      <c r="I783">
        <v>0</v>
      </c>
      <c r="J783" t="s">
        <v>2279</v>
      </c>
      <c r="K783" t="s">
        <v>2279</v>
      </c>
      <c r="L783" t="s">
        <v>2279</v>
      </c>
      <c r="M783" t="s">
        <v>2279</v>
      </c>
      <c r="N783" t="s">
        <v>2279</v>
      </c>
      <c r="O783" s="190" t="str">
        <f>"["&amp;$C783&amp;"]["&amp;$D783&amp;"]["&amp;$F783&amp;"]"</f>
        <v>[S06_AccredCertVerifiersAnnexI][11][NumberCertified]</v>
      </c>
    </row>
    <row r="784" spans="1:15" x14ac:dyDescent="0.3">
      <c r="A784" t="s">
        <v>2277</v>
      </c>
      <c r="B784" t="s">
        <v>1951</v>
      </c>
      <c r="C784" t="s">
        <v>1957</v>
      </c>
      <c r="D784">
        <v>12</v>
      </c>
      <c r="E784" t="s">
        <v>1447</v>
      </c>
      <c r="F784" t="s">
        <v>1960</v>
      </c>
      <c r="G784" t="s">
        <v>1748</v>
      </c>
      <c r="H784" t="s">
        <v>2279</v>
      </c>
      <c r="I784">
        <v>0</v>
      </c>
      <c r="J784" t="s">
        <v>2279</v>
      </c>
      <c r="K784" t="s">
        <v>2279</v>
      </c>
      <c r="L784" t="s">
        <v>2279</v>
      </c>
      <c r="M784" t="s">
        <v>2279</v>
      </c>
      <c r="N784" t="s">
        <v>2279</v>
      </c>
      <c r="O784" s="190" t="str">
        <f>"["&amp;$C784&amp;"]["&amp;$D784&amp;"]["&amp;$F784&amp;"]"</f>
        <v>[S06_AccredCertVerifiersAnnexI][12][NumberCertified]</v>
      </c>
    </row>
    <row r="785" spans="1:15" x14ac:dyDescent="0.3">
      <c r="A785" t="s">
        <v>2277</v>
      </c>
      <c r="B785" t="s">
        <v>1951</v>
      </c>
      <c r="C785" t="s">
        <v>1957</v>
      </c>
      <c r="D785">
        <v>13</v>
      </c>
      <c r="E785" t="s">
        <v>1447</v>
      </c>
      <c r="F785" t="s">
        <v>1960</v>
      </c>
      <c r="G785" t="s">
        <v>1748</v>
      </c>
      <c r="H785" t="s">
        <v>2279</v>
      </c>
      <c r="I785">
        <v>0</v>
      </c>
      <c r="J785" t="s">
        <v>2279</v>
      </c>
      <c r="K785" t="s">
        <v>2279</v>
      </c>
      <c r="L785" t="s">
        <v>2279</v>
      </c>
      <c r="M785" t="s">
        <v>2279</v>
      </c>
      <c r="N785" t="s">
        <v>2279</v>
      </c>
      <c r="O785" s="190" t="str">
        <f>"["&amp;$C785&amp;"]["&amp;$D785&amp;"]["&amp;$F785&amp;"]"</f>
        <v>[S06_AccredCertVerifiersAnnexI][13][NumberCertified]</v>
      </c>
    </row>
    <row r="786" spans="1:15" x14ac:dyDescent="0.3">
      <c r="A786" t="s">
        <v>2277</v>
      </c>
      <c r="B786" t="s">
        <v>1951</v>
      </c>
      <c r="C786" t="s">
        <v>1957</v>
      </c>
      <c r="D786">
        <v>14</v>
      </c>
      <c r="E786" t="s">
        <v>1447</v>
      </c>
      <c r="F786" t="s">
        <v>1960</v>
      </c>
      <c r="G786" t="s">
        <v>1748</v>
      </c>
      <c r="H786" t="s">
        <v>2279</v>
      </c>
      <c r="I786">
        <v>0</v>
      </c>
      <c r="J786" t="s">
        <v>2279</v>
      </c>
      <c r="K786" t="s">
        <v>2279</v>
      </c>
      <c r="L786" t="s">
        <v>2279</v>
      </c>
      <c r="M786" t="s">
        <v>2279</v>
      </c>
      <c r="N786" t="s">
        <v>2279</v>
      </c>
      <c r="O786" s="190" t="str">
        <f>"["&amp;$C786&amp;"]["&amp;$D786&amp;"]["&amp;$F786&amp;"]"</f>
        <v>[S06_AccredCertVerifiersAnnexI][14][NumberCertified]</v>
      </c>
    </row>
    <row r="787" spans="1:15" x14ac:dyDescent="0.3">
      <c r="A787" t="s">
        <v>2277</v>
      </c>
      <c r="B787" t="s">
        <v>1951</v>
      </c>
      <c r="C787" t="s">
        <v>1957</v>
      </c>
      <c r="D787">
        <v>15</v>
      </c>
      <c r="E787" t="s">
        <v>1447</v>
      </c>
      <c r="F787" t="s">
        <v>1960</v>
      </c>
      <c r="G787" t="s">
        <v>1748</v>
      </c>
      <c r="H787" t="s">
        <v>2279</v>
      </c>
      <c r="I787">
        <v>0</v>
      </c>
      <c r="J787" t="s">
        <v>2279</v>
      </c>
      <c r="K787" t="s">
        <v>2279</v>
      </c>
      <c r="L787" t="s">
        <v>2279</v>
      </c>
      <c r="M787" t="s">
        <v>2279</v>
      </c>
      <c r="N787" t="s">
        <v>2279</v>
      </c>
      <c r="O787" s="190" t="str">
        <f>"["&amp;$C787&amp;"]["&amp;$D787&amp;"]["&amp;$F787&amp;"]"</f>
        <v>[S06_AccredCertVerifiersAnnexI][15][NumberCertified]</v>
      </c>
    </row>
    <row r="788" spans="1:15" x14ac:dyDescent="0.3">
      <c r="A788" t="s">
        <v>2277</v>
      </c>
      <c r="B788" t="s">
        <v>1951</v>
      </c>
      <c r="C788" t="s">
        <v>1957</v>
      </c>
      <c r="D788">
        <v>16</v>
      </c>
      <c r="E788" t="s">
        <v>1447</v>
      </c>
      <c r="F788" t="s">
        <v>1960</v>
      </c>
      <c r="G788" t="s">
        <v>1748</v>
      </c>
      <c r="H788" t="s">
        <v>2279</v>
      </c>
      <c r="I788">
        <v>0</v>
      </c>
      <c r="J788" t="s">
        <v>2279</v>
      </c>
      <c r="K788" t="s">
        <v>2279</v>
      </c>
      <c r="L788" t="s">
        <v>2279</v>
      </c>
      <c r="M788" t="s">
        <v>2279</v>
      </c>
      <c r="N788" t="s">
        <v>2279</v>
      </c>
      <c r="O788" s="190" t="str">
        <f>"["&amp;$C788&amp;"]["&amp;$D788&amp;"]["&amp;$F788&amp;"]"</f>
        <v>[S06_AccredCertVerifiersAnnexI][16][NumberCertified]</v>
      </c>
    </row>
    <row r="789" spans="1:15" x14ac:dyDescent="0.3">
      <c r="A789" t="s">
        <v>2277</v>
      </c>
      <c r="B789" t="s">
        <v>1951</v>
      </c>
      <c r="C789" t="s">
        <v>1957</v>
      </c>
      <c r="D789">
        <v>17</v>
      </c>
      <c r="E789" t="s">
        <v>1447</v>
      </c>
      <c r="F789" t="s">
        <v>1960</v>
      </c>
      <c r="G789" t="s">
        <v>1748</v>
      </c>
      <c r="H789" t="s">
        <v>2279</v>
      </c>
      <c r="I789">
        <v>0</v>
      </c>
      <c r="J789" t="s">
        <v>2279</v>
      </c>
      <c r="K789" t="s">
        <v>2279</v>
      </c>
      <c r="L789" t="s">
        <v>2279</v>
      </c>
      <c r="M789" t="s">
        <v>2279</v>
      </c>
      <c r="N789" t="s">
        <v>2279</v>
      </c>
      <c r="O789" s="190" t="str">
        <f>"["&amp;$C789&amp;"]["&amp;$D789&amp;"]["&amp;$F789&amp;"]"</f>
        <v>[S06_AccredCertVerifiersAnnexI][17][NumberCertified]</v>
      </c>
    </row>
    <row r="790" spans="1:15" x14ac:dyDescent="0.3">
      <c r="A790" t="s">
        <v>2277</v>
      </c>
      <c r="B790" t="s">
        <v>1951</v>
      </c>
      <c r="C790" t="s">
        <v>1957</v>
      </c>
      <c r="D790">
        <v>18</v>
      </c>
      <c r="E790" t="s">
        <v>1447</v>
      </c>
      <c r="F790" t="s">
        <v>1960</v>
      </c>
      <c r="G790" t="s">
        <v>1748</v>
      </c>
      <c r="H790" t="s">
        <v>2279</v>
      </c>
      <c r="I790">
        <v>0</v>
      </c>
      <c r="J790" t="s">
        <v>2279</v>
      </c>
      <c r="K790" t="s">
        <v>2279</v>
      </c>
      <c r="L790" t="s">
        <v>2279</v>
      </c>
      <c r="M790" t="s">
        <v>2279</v>
      </c>
      <c r="N790" t="s">
        <v>2279</v>
      </c>
      <c r="O790" s="190" t="str">
        <f>"["&amp;$C790&amp;"]["&amp;$D790&amp;"]["&amp;$F790&amp;"]"</f>
        <v>[S06_AccredCertVerifiersAnnexI][18][NumberCertified]</v>
      </c>
    </row>
    <row r="791" spans="1:15" x14ac:dyDescent="0.3">
      <c r="A791" t="s">
        <v>2277</v>
      </c>
      <c r="B791" t="s">
        <v>1951</v>
      </c>
      <c r="C791" t="s">
        <v>1957</v>
      </c>
      <c r="D791">
        <v>19</v>
      </c>
      <c r="E791" t="s">
        <v>1447</v>
      </c>
      <c r="F791" t="s">
        <v>1960</v>
      </c>
      <c r="G791" t="s">
        <v>1748</v>
      </c>
      <c r="H791" t="s">
        <v>2279</v>
      </c>
      <c r="I791">
        <v>0</v>
      </c>
      <c r="J791" t="s">
        <v>2279</v>
      </c>
      <c r="K791" t="s">
        <v>2279</v>
      </c>
      <c r="L791" t="s">
        <v>2279</v>
      </c>
      <c r="M791" t="s">
        <v>2279</v>
      </c>
      <c r="N791" t="s">
        <v>2279</v>
      </c>
      <c r="O791" s="190" t="str">
        <f>"["&amp;$C791&amp;"]["&amp;$D791&amp;"]["&amp;$F791&amp;"]"</f>
        <v>[S06_AccredCertVerifiersAnnexI][19][NumberCertified]</v>
      </c>
    </row>
    <row r="792" spans="1:15" x14ac:dyDescent="0.3">
      <c r="A792" t="s">
        <v>2277</v>
      </c>
      <c r="B792" t="s">
        <v>1951</v>
      </c>
      <c r="C792" t="s">
        <v>1957</v>
      </c>
      <c r="D792">
        <v>20</v>
      </c>
      <c r="E792" t="s">
        <v>1447</v>
      </c>
      <c r="F792" t="s">
        <v>1960</v>
      </c>
      <c r="G792" t="s">
        <v>1748</v>
      </c>
      <c r="H792" t="s">
        <v>2279</v>
      </c>
      <c r="I792">
        <v>0</v>
      </c>
      <c r="J792" t="s">
        <v>2279</v>
      </c>
      <c r="K792" t="s">
        <v>2279</v>
      </c>
      <c r="L792" t="s">
        <v>2279</v>
      </c>
      <c r="M792" t="s">
        <v>2279</v>
      </c>
      <c r="N792" t="s">
        <v>2279</v>
      </c>
      <c r="O792" s="190" t="str">
        <f>"["&amp;$C792&amp;"]["&amp;$D792&amp;"]["&amp;$F792&amp;"]"</f>
        <v>[S06_AccredCertVerifiersAnnexI][20][NumberCertified]</v>
      </c>
    </row>
    <row r="793" spans="1:15" x14ac:dyDescent="0.3">
      <c r="A793" t="s">
        <v>2277</v>
      </c>
      <c r="B793" t="s">
        <v>1951</v>
      </c>
      <c r="C793" t="s">
        <v>1957</v>
      </c>
      <c r="D793">
        <v>21</v>
      </c>
      <c r="E793" t="s">
        <v>1447</v>
      </c>
      <c r="F793" t="s">
        <v>1960</v>
      </c>
      <c r="G793" t="s">
        <v>1748</v>
      </c>
      <c r="H793" t="s">
        <v>2279</v>
      </c>
      <c r="I793">
        <v>0</v>
      </c>
      <c r="J793" t="s">
        <v>2279</v>
      </c>
      <c r="K793" t="s">
        <v>2279</v>
      </c>
      <c r="L793" t="s">
        <v>2279</v>
      </c>
      <c r="M793" t="s">
        <v>2279</v>
      </c>
      <c r="N793" t="s">
        <v>2279</v>
      </c>
      <c r="O793" s="190" t="str">
        <f>"["&amp;$C793&amp;"]["&amp;$D793&amp;"]["&amp;$F793&amp;"]"</f>
        <v>[S06_AccredCertVerifiersAnnexI][21][NumberCertified]</v>
      </c>
    </row>
    <row r="794" spans="1:15" x14ac:dyDescent="0.3">
      <c r="A794" t="s">
        <v>2277</v>
      </c>
      <c r="B794" t="s">
        <v>1951</v>
      </c>
      <c r="C794" t="s">
        <v>1957</v>
      </c>
      <c r="D794">
        <v>22</v>
      </c>
      <c r="E794" t="s">
        <v>1447</v>
      </c>
      <c r="F794" t="s">
        <v>1960</v>
      </c>
      <c r="G794" t="s">
        <v>1748</v>
      </c>
      <c r="H794" t="s">
        <v>2279</v>
      </c>
      <c r="I794">
        <v>0</v>
      </c>
      <c r="J794" t="s">
        <v>2279</v>
      </c>
      <c r="K794" t="s">
        <v>2279</v>
      </c>
      <c r="L794" t="s">
        <v>2279</v>
      </c>
      <c r="M794" t="s">
        <v>2279</v>
      </c>
      <c r="N794" t="s">
        <v>2279</v>
      </c>
      <c r="O794" s="190" t="str">
        <f>"["&amp;$C794&amp;"]["&amp;$D794&amp;"]["&amp;$F794&amp;"]"</f>
        <v>[S06_AccredCertVerifiersAnnexI][22][NumberCertified]</v>
      </c>
    </row>
    <row r="795" spans="1:15" x14ac:dyDescent="0.3">
      <c r="A795" t="s">
        <v>2277</v>
      </c>
      <c r="B795" t="s">
        <v>1951</v>
      </c>
      <c r="C795" t="s">
        <v>1957</v>
      </c>
      <c r="D795">
        <v>23</v>
      </c>
      <c r="E795" t="s">
        <v>1447</v>
      </c>
      <c r="F795" t="s">
        <v>1960</v>
      </c>
      <c r="G795" t="s">
        <v>1748</v>
      </c>
      <c r="H795" t="s">
        <v>2279</v>
      </c>
      <c r="I795">
        <v>0</v>
      </c>
      <c r="J795" t="s">
        <v>2279</v>
      </c>
      <c r="K795" t="s">
        <v>2279</v>
      </c>
      <c r="L795" t="s">
        <v>2279</v>
      </c>
      <c r="M795" t="s">
        <v>2279</v>
      </c>
      <c r="N795" t="s">
        <v>2279</v>
      </c>
      <c r="O795" s="190" t="str">
        <f>"["&amp;$C795&amp;"]["&amp;$D795&amp;"]["&amp;$F795&amp;"]"</f>
        <v>[S06_AccredCertVerifiersAnnexI][23][NumberCertified]</v>
      </c>
    </row>
    <row r="796" spans="1:15" x14ac:dyDescent="0.3">
      <c r="A796" t="s">
        <v>2277</v>
      </c>
      <c r="B796" t="s">
        <v>1951</v>
      </c>
      <c r="C796" t="s">
        <v>1957</v>
      </c>
      <c r="D796">
        <v>24</v>
      </c>
      <c r="E796" t="s">
        <v>1447</v>
      </c>
      <c r="F796" t="s">
        <v>1960</v>
      </c>
      <c r="G796" t="s">
        <v>1748</v>
      </c>
      <c r="H796" t="s">
        <v>2279</v>
      </c>
      <c r="I796">
        <v>0</v>
      </c>
      <c r="J796" t="s">
        <v>2279</v>
      </c>
      <c r="K796" t="s">
        <v>2279</v>
      </c>
      <c r="L796" t="s">
        <v>2279</v>
      </c>
      <c r="M796" t="s">
        <v>2279</v>
      </c>
      <c r="N796" t="s">
        <v>2279</v>
      </c>
      <c r="O796" s="190" t="str">
        <f>"["&amp;$C796&amp;"]["&amp;$D796&amp;"]["&amp;$F796&amp;"]"</f>
        <v>[S06_AccredCertVerifiersAnnexI][24][NumberCertified]</v>
      </c>
    </row>
    <row r="797" spans="1:15" x14ac:dyDescent="0.3">
      <c r="A797" t="s">
        <v>2277</v>
      </c>
      <c r="B797" t="s">
        <v>1961</v>
      </c>
      <c r="C797" t="s">
        <v>1962</v>
      </c>
      <c r="D797">
        <v>1</v>
      </c>
      <c r="E797" t="s">
        <v>1447</v>
      </c>
      <c r="F797" t="s">
        <v>1963</v>
      </c>
      <c r="G797" t="s">
        <v>1759</v>
      </c>
      <c r="H797" t="s">
        <v>2279</v>
      </c>
      <c r="I797" t="s">
        <v>2279</v>
      </c>
      <c r="J797" t="s">
        <v>2279</v>
      </c>
      <c r="K797" t="s">
        <v>2279</v>
      </c>
      <c r="L797" t="s">
        <v>1419</v>
      </c>
      <c r="M797" t="s">
        <v>2279</v>
      </c>
      <c r="N797" t="s">
        <v>2279</v>
      </c>
      <c r="O797" s="190" t="str">
        <f>"["&amp;$C797&amp;"]["&amp;$D797&amp;"]["&amp;$F797&amp;"]"</f>
        <v>[S06_ApplicationInformationExchangeRequirements1][1][FromOwnMS]</v>
      </c>
    </row>
    <row r="798" spans="1:15" x14ac:dyDescent="0.3">
      <c r="A798" t="s">
        <v>2277</v>
      </c>
      <c r="B798" t="s">
        <v>1961</v>
      </c>
      <c r="C798" t="s">
        <v>1962</v>
      </c>
      <c r="D798">
        <v>1</v>
      </c>
      <c r="E798" t="s">
        <v>1447</v>
      </c>
      <c r="F798" t="s">
        <v>1964</v>
      </c>
      <c r="G798" t="s">
        <v>1759</v>
      </c>
      <c r="H798" t="s">
        <v>2279</v>
      </c>
      <c r="I798" t="s">
        <v>2279</v>
      </c>
      <c r="J798" t="s">
        <v>2279</v>
      </c>
      <c r="K798" t="s">
        <v>2279</v>
      </c>
      <c r="L798" t="s">
        <v>1419</v>
      </c>
      <c r="M798" t="s">
        <v>2279</v>
      </c>
      <c r="N798" t="s">
        <v>2279</v>
      </c>
      <c r="O798" s="190" t="str">
        <f>"["&amp;$C798&amp;"]["&amp;$D798&amp;"]["&amp;$F798&amp;"]"</f>
        <v>[S06_ApplicationInformationExchangeRequirements1][1][FromOtherMS]</v>
      </c>
    </row>
    <row r="799" spans="1:15" x14ac:dyDescent="0.3">
      <c r="A799" t="s">
        <v>2277</v>
      </c>
      <c r="B799" t="s">
        <v>1961</v>
      </c>
      <c r="C799" t="s">
        <v>1962</v>
      </c>
      <c r="D799">
        <v>2</v>
      </c>
      <c r="E799" t="s">
        <v>1447</v>
      </c>
      <c r="F799" t="s">
        <v>1963</v>
      </c>
      <c r="G799" t="s">
        <v>1759</v>
      </c>
      <c r="H799" t="s">
        <v>2279</v>
      </c>
      <c r="I799" t="s">
        <v>2279</v>
      </c>
      <c r="J799" t="s">
        <v>2279</v>
      </c>
      <c r="K799" t="s">
        <v>2279</v>
      </c>
      <c r="L799" t="s">
        <v>1419</v>
      </c>
      <c r="M799" t="s">
        <v>2279</v>
      </c>
      <c r="N799" t="s">
        <v>2279</v>
      </c>
      <c r="O799" s="190" t="str">
        <f>"["&amp;$C799&amp;"]["&amp;$D799&amp;"]["&amp;$F799&amp;"]"</f>
        <v>[S06_ApplicationInformationExchangeRequirements1][2][FromOwnMS]</v>
      </c>
    </row>
    <row r="800" spans="1:15" x14ac:dyDescent="0.3">
      <c r="A800" t="s">
        <v>2277</v>
      </c>
      <c r="B800" t="s">
        <v>1961</v>
      </c>
      <c r="C800" t="s">
        <v>1962</v>
      </c>
      <c r="D800">
        <v>2</v>
      </c>
      <c r="E800" t="s">
        <v>1447</v>
      </c>
      <c r="F800" t="s">
        <v>1964</v>
      </c>
      <c r="G800" t="s">
        <v>1759</v>
      </c>
      <c r="H800" t="s">
        <v>2279</v>
      </c>
      <c r="I800" t="s">
        <v>2279</v>
      </c>
      <c r="J800" t="s">
        <v>2279</v>
      </c>
      <c r="K800" t="s">
        <v>2279</v>
      </c>
      <c r="L800" t="s">
        <v>1419</v>
      </c>
      <c r="M800" t="s">
        <v>2279</v>
      </c>
      <c r="N800" t="s">
        <v>2279</v>
      </c>
      <c r="O800" s="190" t="str">
        <f>"["&amp;$C800&amp;"]["&amp;$D800&amp;"]["&amp;$F800&amp;"]"</f>
        <v>[S06_ApplicationInformationExchangeRequirements1][2][FromOtherMS]</v>
      </c>
    </row>
    <row r="801" spans="1:15" x14ac:dyDescent="0.3">
      <c r="A801" t="s">
        <v>2277</v>
      </c>
      <c r="B801" t="s">
        <v>1961</v>
      </c>
      <c r="C801" t="s">
        <v>1962</v>
      </c>
      <c r="D801">
        <v>3</v>
      </c>
      <c r="E801" t="s">
        <v>1447</v>
      </c>
      <c r="F801" t="s">
        <v>1963</v>
      </c>
      <c r="G801" t="s">
        <v>1759</v>
      </c>
      <c r="H801" t="s">
        <v>2279</v>
      </c>
      <c r="I801" t="s">
        <v>2279</v>
      </c>
      <c r="J801" t="s">
        <v>2279</v>
      </c>
      <c r="K801" t="s">
        <v>2279</v>
      </c>
      <c r="L801" t="s">
        <v>1477</v>
      </c>
      <c r="M801" t="s">
        <v>2279</v>
      </c>
      <c r="N801" t="s">
        <v>2279</v>
      </c>
      <c r="O801" s="190" t="str">
        <f>"["&amp;$C801&amp;"]["&amp;$D801&amp;"]["&amp;$F801&amp;"]"</f>
        <v>[S06_ApplicationInformationExchangeRequirements1][3][FromOwnMS]</v>
      </c>
    </row>
    <row r="802" spans="1:15" x14ac:dyDescent="0.3">
      <c r="A802" t="s">
        <v>2277</v>
      </c>
      <c r="B802" t="s">
        <v>1961</v>
      </c>
      <c r="C802" t="s">
        <v>1962</v>
      </c>
      <c r="D802">
        <v>3</v>
      </c>
      <c r="E802" t="s">
        <v>1447</v>
      </c>
      <c r="F802" t="s">
        <v>1964</v>
      </c>
      <c r="G802" t="s">
        <v>1759</v>
      </c>
      <c r="H802" t="s">
        <v>2279</v>
      </c>
      <c r="I802" t="s">
        <v>2279</v>
      </c>
      <c r="J802" t="s">
        <v>2279</v>
      </c>
      <c r="K802" t="s">
        <v>2279</v>
      </c>
      <c r="L802" t="s">
        <v>1477</v>
      </c>
      <c r="M802" t="s">
        <v>2279</v>
      </c>
      <c r="N802" t="s">
        <v>2279</v>
      </c>
      <c r="O802" s="190" t="str">
        <f>"["&amp;$C802&amp;"]["&amp;$D802&amp;"]["&amp;$F802&amp;"]"</f>
        <v>[S06_ApplicationInformationExchangeRequirements1][3][FromOtherMS]</v>
      </c>
    </row>
    <row r="803" spans="1:15" x14ac:dyDescent="0.3">
      <c r="A803" t="s">
        <v>2277</v>
      </c>
      <c r="B803" t="s">
        <v>1961</v>
      </c>
      <c r="C803" t="s">
        <v>1965</v>
      </c>
      <c r="D803">
        <v>1</v>
      </c>
      <c r="E803" t="s">
        <v>1447</v>
      </c>
      <c r="F803" t="s">
        <v>1966</v>
      </c>
      <c r="G803" t="s">
        <v>1748</v>
      </c>
      <c r="H803" t="s">
        <v>2279</v>
      </c>
      <c r="I803">
        <v>0</v>
      </c>
      <c r="J803" t="s">
        <v>2279</v>
      </c>
      <c r="K803" t="s">
        <v>2279</v>
      </c>
      <c r="L803" t="s">
        <v>2279</v>
      </c>
      <c r="M803" t="s">
        <v>2279</v>
      </c>
      <c r="N803" t="s">
        <v>2279</v>
      </c>
      <c r="O803" s="190" t="str">
        <f>"["&amp;$C803&amp;"]["&amp;$D803&amp;"]["&amp;$F803&amp;"]"</f>
        <v>[S06_ApplicationInformationExchangeRequirements2][1][NumberImposedOnVerifiersSuspension]</v>
      </c>
    </row>
    <row r="804" spans="1:15" x14ac:dyDescent="0.3">
      <c r="A804" t="s">
        <v>2277</v>
      </c>
      <c r="B804" t="s">
        <v>1961</v>
      </c>
      <c r="C804" t="s">
        <v>1965</v>
      </c>
      <c r="D804">
        <v>1</v>
      </c>
      <c r="E804" t="s">
        <v>1447</v>
      </c>
      <c r="F804" t="s">
        <v>1967</v>
      </c>
      <c r="G804" t="s">
        <v>1748</v>
      </c>
      <c r="H804" t="s">
        <v>2279</v>
      </c>
      <c r="I804">
        <v>0</v>
      </c>
      <c r="J804" t="s">
        <v>2279</v>
      </c>
      <c r="K804" t="s">
        <v>2279</v>
      </c>
      <c r="L804" t="s">
        <v>2279</v>
      </c>
      <c r="M804" t="s">
        <v>2279</v>
      </c>
      <c r="N804" t="s">
        <v>2279</v>
      </c>
      <c r="O804" s="190" t="str">
        <f>"["&amp;$C804&amp;"]["&amp;$D804&amp;"]["&amp;$F804&amp;"]"</f>
        <v>[S06_ApplicationInformationExchangeRequirements2][1][NumberImposedOnVerifiersWithdrawal]</v>
      </c>
    </row>
    <row r="805" spans="1:15" x14ac:dyDescent="0.3">
      <c r="A805" t="s">
        <v>2277</v>
      </c>
      <c r="B805" t="s">
        <v>1961</v>
      </c>
      <c r="C805" t="s">
        <v>1965</v>
      </c>
      <c r="D805">
        <v>1</v>
      </c>
      <c r="E805" t="s">
        <v>1447</v>
      </c>
      <c r="F805" t="s">
        <v>1968</v>
      </c>
      <c r="G805" t="s">
        <v>1748</v>
      </c>
      <c r="H805" t="s">
        <v>2279</v>
      </c>
      <c r="I805">
        <v>1</v>
      </c>
      <c r="J805" t="s">
        <v>2279</v>
      </c>
      <c r="K805" t="s">
        <v>2279</v>
      </c>
      <c r="L805" t="s">
        <v>2279</v>
      </c>
      <c r="M805" t="s">
        <v>2279</v>
      </c>
      <c r="N805" t="s">
        <v>2279</v>
      </c>
      <c r="O805" s="190" t="str">
        <f>"["&amp;$C805&amp;"]["&amp;$D805&amp;"]["&amp;$F805&amp;"]"</f>
        <v>[S06_ApplicationInformationExchangeRequirements2][1][NumberImposedOnVerifiersReductionOfScope]</v>
      </c>
    </row>
    <row r="806" spans="1:15" x14ac:dyDescent="0.3">
      <c r="A806" t="s">
        <v>2277</v>
      </c>
      <c r="B806" t="s">
        <v>1961</v>
      </c>
      <c r="C806" t="s">
        <v>1969</v>
      </c>
      <c r="D806">
        <v>0</v>
      </c>
      <c r="E806" t="s">
        <v>1447</v>
      </c>
      <c r="F806" t="s">
        <v>1970</v>
      </c>
      <c r="G806" t="s">
        <v>1748</v>
      </c>
      <c r="H806" t="s">
        <v>2279</v>
      </c>
      <c r="I806">
        <v>1</v>
      </c>
      <c r="J806" t="s">
        <v>2279</v>
      </c>
      <c r="K806" t="s">
        <v>2279</v>
      </c>
      <c r="L806" t="s">
        <v>2279</v>
      </c>
      <c r="M806" t="s">
        <v>2279</v>
      </c>
      <c r="N806" t="s">
        <v>2279</v>
      </c>
      <c r="O806" s="190" t="str">
        <f>"["&amp;$C806&amp;"]["&amp;$D806&amp;"]["&amp;$F806&amp;"]"</f>
        <v>[S06_ApplicationInformationExchangeRequirements3][0][TimesSurveillanceRequested]</v>
      </c>
    </row>
    <row r="807" spans="1:15" x14ac:dyDescent="0.3">
      <c r="A807" t="s">
        <v>2277</v>
      </c>
      <c r="B807" t="s">
        <v>1961</v>
      </c>
      <c r="C807" t="s">
        <v>1971</v>
      </c>
      <c r="D807">
        <v>1</v>
      </c>
      <c r="E807" t="s">
        <v>1447</v>
      </c>
      <c r="F807" t="s">
        <v>1972</v>
      </c>
      <c r="G807" t="s">
        <v>1748</v>
      </c>
      <c r="H807" t="s">
        <v>2279</v>
      </c>
      <c r="I807">
        <v>0</v>
      </c>
      <c r="J807" t="s">
        <v>2279</v>
      </c>
      <c r="K807" t="s">
        <v>2279</v>
      </c>
      <c r="L807" t="s">
        <v>2279</v>
      </c>
      <c r="M807" t="s">
        <v>2279</v>
      </c>
      <c r="N807" t="s">
        <v>2279</v>
      </c>
      <c r="O807" s="190" t="str">
        <f>"["&amp;$C807&amp;"]["&amp;$D807&amp;"]["&amp;$F807&amp;"]"</f>
        <v>[S06_ApplicationInformationExchangeRequirements4][1][NumberOfIssues]</v>
      </c>
    </row>
    <row r="808" spans="1:15" x14ac:dyDescent="0.3">
      <c r="A808" t="s">
        <v>2277</v>
      </c>
      <c r="B808" t="s">
        <v>1961</v>
      </c>
      <c r="C808" t="s">
        <v>1971</v>
      </c>
      <c r="D808">
        <v>1</v>
      </c>
      <c r="E808" t="s">
        <v>1447</v>
      </c>
      <c r="F808" t="s">
        <v>1973</v>
      </c>
      <c r="G808" t="s">
        <v>1748</v>
      </c>
      <c r="H808" t="s">
        <v>2279</v>
      </c>
      <c r="I808">
        <v>0</v>
      </c>
      <c r="J808" t="s">
        <v>2279</v>
      </c>
      <c r="K808" t="s">
        <v>2279</v>
      </c>
      <c r="L808" t="s">
        <v>2279</v>
      </c>
      <c r="M808" t="s">
        <v>2279</v>
      </c>
      <c r="N808" t="s">
        <v>2279</v>
      </c>
      <c r="O808" s="190" t="str">
        <f>"["&amp;$C808&amp;"]["&amp;$D808&amp;"]["&amp;$F808&amp;"]"</f>
        <v>[S06_ApplicationInformationExchangeRequirements4][1][NumberOfIssuesResolved]</v>
      </c>
    </row>
    <row r="809" spans="1:15" x14ac:dyDescent="0.3">
      <c r="A809" t="s">
        <v>2277</v>
      </c>
      <c r="B809" t="s">
        <v>1961</v>
      </c>
      <c r="C809" t="s">
        <v>1971</v>
      </c>
      <c r="D809">
        <v>1</v>
      </c>
      <c r="E809" t="s">
        <v>1447</v>
      </c>
      <c r="F809" t="s">
        <v>1974</v>
      </c>
      <c r="G809" t="s">
        <v>1748</v>
      </c>
      <c r="H809" t="s">
        <v>2279</v>
      </c>
      <c r="I809">
        <v>0</v>
      </c>
      <c r="J809" t="s">
        <v>2279</v>
      </c>
      <c r="K809" t="s">
        <v>2279</v>
      </c>
      <c r="L809" t="s">
        <v>2279</v>
      </c>
      <c r="M809" t="s">
        <v>2279</v>
      </c>
      <c r="N809" t="s">
        <v>2279</v>
      </c>
      <c r="O809" s="190" t="str">
        <f>"["&amp;$C809&amp;"]["&amp;$D809&amp;"]["&amp;$F809&amp;"]"</f>
        <v>[S06_ApplicationInformationExchangeRequirements4][1][NumberOfPriorIssuesResolved]</v>
      </c>
    </row>
    <row r="810" spans="1:15" x14ac:dyDescent="0.3">
      <c r="A810" t="s">
        <v>2277</v>
      </c>
      <c r="B810" t="s">
        <v>1961</v>
      </c>
      <c r="C810" t="s">
        <v>1971</v>
      </c>
      <c r="D810">
        <v>3</v>
      </c>
      <c r="E810" t="s">
        <v>1447</v>
      </c>
      <c r="F810" t="s">
        <v>1972</v>
      </c>
      <c r="G810" t="s">
        <v>1748</v>
      </c>
      <c r="H810" t="s">
        <v>2279</v>
      </c>
      <c r="I810">
        <v>0</v>
      </c>
      <c r="J810" t="s">
        <v>2279</v>
      </c>
      <c r="K810" t="s">
        <v>2279</v>
      </c>
      <c r="L810" t="s">
        <v>2279</v>
      </c>
      <c r="M810" t="s">
        <v>2279</v>
      </c>
      <c r="N810" t="s">
        <v>2279</v>
      </c>
      <c r="O810" s="190" t="str">
        <f>"["&amp;$C810&amp;"]["&amp;$D810&amp;"]["&amp;$F810&amp;"]"</f>
        <v>[S06_ApplicationInformationExchangeRequirements4][3][NumberOfIssues]</v>
      </c>
    </row>
    <row r="811" spans="1:15" x14ac:dyDescent="0.3">
      <c r="A811" t="s">
        <v>2277</v>
      </c>
      <c r="B811" t="s">
        <v>1961</v>
      </c>
      <c r="C811" t="s">
        <v>1971</v>
      </c>
      <c r="D811">
        <v>3</v>
      </c>
      <c r="E811" t="s">
        <v>1447</v>
      </c>
      <c r="F811" t="s">
        <v>1973</v>
      </c>
      <c r="G811" t="s">
        <v>1748</v>
      </c>
      <c r="H811" t="s">
        <v>2279</v>
      </c>
      <c r="I811">
        <v>0</v>
      </c>
      <c r="J811" t="s">
        <v>2279</v>
      </c>
      <c r="K811" t="s">
        <v>2279</v>
      </c>
      <c r="L811" t="s">
        <v>2279</v>
      </c>
      <c r="M811" t="s">
        <v>2279</v>
      </c>
      <c r="N811" t="s">
        <v>2279</v>
      </c>
      <c r="O811" s="190" t="str">
        <f>"["&amp;$C811&amp;"]["&amp;$D811&amp;"]["&amp;$F811&amp;"]"</f>
        <v>[S06_ApplicationInformationExchangeRequirements4][3][NumberOfIssuesResolved]</v>
      </c>
    </row>
    <row r="812" spans="1:15" x14ac:dyDescent="0.3">
      <c r="A812" t="s">
        <v>2277</v>
      </c>
      <c r="B812" t="s">
        <v>1961</v>
      </c>
      <c r="C812" t="s">
        <v>1971</v>
      </c>
      <c r="D812">
        <v>3</v>
      </c>
      <c r="E812" t="s">
        <v>1447</v>
      </c>
      <c r="F812" t="s">
        <v>1974</v>
      </c>
      <c r="G812" t="s">
        <v>1748</v>
      </c>
      <c r="H812" t="s">
        <v>2279</v>
      </c>
      <c r="I812">
        <v>0</v>
      </c>
      <c r="J812" t="s">
        <v>2279</v>
      </c>
      <c r="K812" t="s">
        <v>2279</v>
      </c>
      <c r="L812" t="s">
        <v>2279</v>
      </c>
      <c r="M812" t="s">
        <v>2279</v>
      </c>
      <c r="N812" t="s">
        <v>2279</v>
      </c>
      <c r="O812" s="190" t="str">
        <f>"["&amp;$C812&amp;"]["&amp;$D812&amp;"]["&amp;$F812&amp;"]"</f>
        <v>[S06_ApplicationInformationExchangeRequirements4][3][NumberOfPriorIssuesResolved]</v>
      </c>
    </row>
    <row r="813" spans="1:15" x14ac:dyDescent="0.3">
      <c r="A813" t="s">
        <v>2277</v>
      </c>
      <c r="B813" t="s">
        <v>1975</v>
      </c>
      <c r="C813" t="s">
        <v>1976</v>
      </c>
      <c r="D813">
        <v>1</v>
      </c>
      <c r="E813" t="s">
        <v>1447</v>
      </c>
      <c r="F813" t="s">
        <v>1868</v>
      </c>
      <c r="G813" t="s">
        <v>1741</v>
      </c>
      <c r="H813" t="s">
        <v>2369</v>
      </c>
      <c r="I813" t="s">
        <v>2279</v>
      </c>
      <c r="J813" t="s">
        <v>2279</v>
      </c>
      <c r="K813" t="s">
        <v>2279</v>
      </c>
      <c r="L813" t="s">
        <v>2279</v>
      </c>
      <c r="M813" t="s">
        <v>2279</v>
      </c>
      <c r="N813" t="s">
        <v>2279</v>
      </c>
      <c r="O813" s="190" t="str">
        <f>"["&amp;$C813&amp;"]["&amp;$D813&amp;"]["&amp;$F813&amp;"]"</f>
        <v>[S06_InstallationsConservativeEstimates][1][InstallationID]</v>
      </c>
    </row>
    <row r="814" spans="1:15" x14ac:dyDescent="0.3">
      <c r="A814" t="s">
        <v>2277</v>
      </c>
      <c r="B814" t="s">
        <v>1975</v>
      </c>
      <c r="C814" t="s">
        <v>1976</v>
      </c>
      <c r="D814">
        <v>2</v>
      </c>
      <c r="E814" t="s">
        <v>1447</v>
      </c>
      <c r="F814" t="s">
        <v>1868</v>
      </c>
      <c r="G814" t="s">
        <v>1741</v>
      </c>
      <c r="H814" t="s">
        <v>2370</v>
      </c>
      <c r="I814" t="s">
        <v>2279</v>
      </c>
      <c r="J814" t="s">
        <v>2279</v>
      </c>
      <c r="K814" t="s">
        <v>2279</v>
      </c>
      <c r="L814" t="s">
        <v>2279</v>
      </c>
      <c r="M814" t="s">
        <v>2279</v>
      </c>
      <c r="N814" t="s">
        <v>2279</v>
      </c>
      <c r="O814" s="190" t="str">
        <f>"["&amp;$C814&amp;"]["&amp;$D814&amp;"]["&amp;$F814&amp;"]"</f>
        <v>[S06_InstallationsConservativeEstimates][2][InstallationID]</v>
      </c>
    </row>
    <row r="815" spans="1:15" x14ac:dyDescent="0.3">
      <c r="A815" t="s">
        <v>2277</v>
      </c>
      <c r="B815" t="s">
        <v>1975</v>
      </c>
      <c r="C815" t="s">
        <v>1976</v>
      </c>
      <c r="D815">
        <v>1</v>
      </c>
      <c r="E815" t="s">
        <v>1447</v>
      </c>
      <c r="F815" t="s">
        <v>1977</v>
      </c>
      <c r="G815" t="s">
        <v>1806</v>
      </c>
      <c r="H815" t="s">
        <v>2279</v>
      </c>
      <c r="I815" t="s">
        <v>2279</v>
      </c>
      <c r="J815">
        <v>11</v>
      </c>
      <c r="K815" t="s">
        <v>2279</v>
      </c>
      <c r="L815" t="s">
        <v>2279</v>
      </c>
      <c r="M815" t="s">
        <v>2279</v>
      </c>
      <c r="N815" t="s">
        <v>2279</v>
      </c>
      <c r="O815" s="190" t="str">
        <f>"["&amp;$C815&amp;"]["&amp;$D815&amp;"]["&amp;$F815&amp;"]"</f>
        <v>[S06_InstallationsConservativeEstimates][1][InstallationAnnualEmissionstCO2e]</v>
      </c>
    </row>
    <row r="816" spans="1:15" x14ac:dyDescent="0.3">
      <c r="A816" t="s">
        <v>2277</v>
      </c>
      <c r="B816" t="s">
        <v>1975</v>
      </c>
      <c r="C816" t="s">
        <v>1976</v>
      </c>
      <c r="D816">
        <v>2</v>
      </c>
      <c r="E816" t="s">
        <v>1447</v>
      </c>
      <c r="F816" t="s">
        <v>1977</v>
      </c>
      <c r="G816" t="s">
        <v>1806</v>
      </c>
      <c r="H816" t="s">
        <v>2279</v>
      </c>
      <c r="I816" t="s">
        <v>2279</v>
      </c>
      <c r="J816">
        <v>3</v>
      </c>
      <c r="K816" t="s">
        <v>2279</v>
      </c>
      <c r="L816" t="s">
        <v>2279</v>
      </c>
      <c r="M816" t="s">
        <v>2279</v>
      </c>
      <c r="N816" t="s">
        <v>2279</v>
      </c>
      <c r="O816" s="190" t="str">
        <f>"["&amp;$C816&amp;"]["&amp;$D816&amp;"]["&amp;$F816&amp;"]"</f>
        <v>[S06_InstallationsConservativeEstimates][2][InstallationAnnualEmissionstCO2e]</v>
      </c>
    </row>
    <row r="817" spans="1:15" x14ac:dyDescent="0.3">
      <c r="A817" t="s">
        <v>2277</v>
      </c>
      <c r="B817" t="s">
        <v>1975</v>
      </c>
      <c r="C817" t="s">
        <v>1976</v>
      </c>
      <c r="D817">
        <v>1</v>
      </c>
      <c r="E817" t="s">
        <v>1447</v>
      </c>
      <c r="F817" t="s">
        <v>1978</v>
      </c>
      <c r="G817" t="s">
        <v>1737</v>
      </c>
      <c r="H817" t="s">
        <v>2279</v>
      </c>
      <c r="I817" t="s">
        <v>2279</v>
      </c>
      <c r="J817" t="s">
        <v>2279</v>
      </c>
      <c r="K817" t="s">
        <v>2279</v>
      </c>
      <c r="L817" t="s">
        <v>1437</v>
      </c>
      <c r="M817" t="s">
        <v>2279</v>
      </c>
      <c r="N817" t="s">
        <v>2279</v>
      </c>
      <c r="O817" s="190" t="str">
        <f>"["&amp;$C817&amp;"]["&amp;$D817&amp;"]["&amp;$F817&amp;"]"</f>
        <v>[S06_InstallationsConservativeEstimates][1][ReasonConservativeEstimate]</v>
      </c>
    </row>
    <row r="818" spans="1:15" x14ac:dyDescent="0.3">
      <c r="A818" t="s">
        <v>2277</v>
      </c>
      <c r="B818" t="s">
        <v>1975</v>
      </c>
      <c r="C818" t="s">
        <v>1976</v>
      </c>
      <c r="D818">
        <v>2</v>
      </c>
      <c r="E818" t="s">
        <v>1447</v>
      </c>
      <c r="F818" t="s">
        <v>1978</v>
      </c>
      <c r="G818" t="s">
        <v>1737</v>
      </c>
      <c r="H818" t="s">
        <v>2279</v>
      </c>
      <c r="I818" t="s">
        <v>2279</v>
      </c>
      <c r="J818" t="s">
        <v>2279</v>
      </c>
      <c r="K818" t="s">
        <v>2279</v>
      </c>
      <c r="L818" t="s">
        <v>1437</v>
      </c>
      <c r="M818" t="s">
        <v>2279</v>
      </c>
      <c r="N818" t="s">
        <v>2279</v>
      </c>
      <c r="O818" s="190" t="str">
        <f>"["&amp;$C818&amp;"]["&amp;$D818&amp;"]["&amp;$F818&amp;"]"</f>
        <v>[S06_InstallationsConservativeEstimates][2][ReasonConservativeEstimate]</v>
      </c>
    </row>
    <row r="819" spans="1:15" x14ac:dyDescent="0.3">
      <c r="A819" t="s">
        <v>2277</v>
      </c>
      <c r="B819" t="s">
        <v>1975</v>
      </c>
      <c r="C819" t="s">
        <v>1976</v>
      </c>
      <c r="D819">
        <v>1</v>
      </c>
      <c r="E819" t="s">
        <v>1447</v>
      </c>
      <c r="F819" t="s">
        <v>1979</v>
      </c>
      <c r="G819" t="s">
        <v>1806</v>
      </c>
      <c r="H819" t="s">
        <v>2279</v>
      </c>
      <c r="I819" t="s">
        <v>2279</v>
      </c>
      <c r="J819">
        <v>1</v>
      </c>
      <c r="K819" t="s">
        <v>2279</v>
      </c>
      <c r="L819" t="s">
        <v>2279</v>
      </c>
      <c r="M819" t="s">
        <v>2279</v>
      </c>
      <c r="N819" t="s">
        <v>2279</v>
      </c>
      <c r="O819" s="190" t="str">
        <f>"["&amp;$C819&amp;"]["&amp;$D819&amp;"]["&amp;$F819&amp;"]"</f>
        <v>[S06_InstallationsConservativeEstimates][1][InstallationConservativeShare]</v>
      </c>
    </row>
    <row r="820" spans="1:15" x14ac:dyDescent="0.3">
      <c r="A820" t="s">
        <v>2277</v>
      </c>
      <c r="B820" t="s">
        <v>1975</v>
      </c>
      <c r="C820" t="s">
        <v>1976</v>
      </c>
      <c r="D820">
        <v>2</v>
      </c>
      <c r="E820" t="s">
        <v>1447</v>
      </c>
      <c r="F820" t="s">
        <v>1979</v>
      </c>
      <c r="G820" t="s">
        <v>1806</v>
      </c>
      <c r="H820" t="s">
        <v>2279</v>
      </c>
      <c r="I820" t="s">
        <v>2279</v>
      </c>
      <c r="J820">
        <v>1</v>
      </c>
      <c r="K820" t="s">
        <v>2279</v>
      </c>
      <c r="L820" t="s">
        <v>2279</v>
      </c>
      <c r="M820" t="s">
        <v>2279</v>
      </c>
      <c r="N820" t="s">
        <v>2279</v>
      </c>
      <c r="O820" s="190" t="str">
        <f>"["&amp;$C820&amp;"]["&amp;$D820&amp;"]["&amp;$F820&amp;"]"</f>
        <v>[S06_InstallationsConservativeEstimates][2][InstallationConservativeShare]</v>
      </c>
    </row>
    <row r="821" spans="1:15" x14ac:dyDescent="0.3">
      <c r="A821" t="s">
        <v>2277</v>
      </c>
      <c r="B821" t="s">
        <v>1975</v>
      </c>
      <c r="C821" t="s">
        <v>1976</v>
      </c>
      <c r="D821">
        <v>1</v>
      </c>
      <c r="E821" t="s">
        <v>1447</v>
      </c>
      <c r="F821" t="s">
        <v>1980</v>
      </c>
      <c r="G821" t="s">
        <v>1741</v>
      </c>
      <c r="H821" t="s">
        <v>2371</v>
      </c>
      <c r="I821" t="s">
        <v>2279</v>
      </c>
      <c r="J821" t="s">
        <v>2279</v>
      </c>
      <c r="K821" t="s">
        <v>2279</v>
      </c>
      <c r="L821" t="s">
        <v>2279</v>
      </c>
      <c r="M821" t="s">
        <v>2279</v>
      </c>
      <c r="N821" t="s">
        <v>2279</v>
      </c>
      <c r="O821" s="190" t="str">
        <f>"["&amp;$C821&amp;"]["&amp;$D821&amp;"]["&amp;$F821&amp;"]"</f>
        <v>[S06_InstallationsConservativeEstimates][1][ConservativeMethod]</v>
      </c>
    </row>
    <row r="822" spans="1:15" x14ac:dyDescent="0.3">
      <c r="A822" t="s">
        <v>2277</v>
      </c>
      <c r="B822" t="s">
        <v>1975</v>
      </c>
      <c r="C822" t="s">
        <v>1976</v>
      </c>
      <c r="D822">
        <v>2</v>
      </c>
      <c r="E822" t="s">
        <v>1447</v>
      </c>
      <c r="F822" t="s">
        <v>1980</v>
      </c>
      <c r="G822" t="s">
        <v>1741</v>
      </c>
      <c r="H822" t="s">
        <v>2372</v>
      </c>
      <c r="I822" t="s">
        <v>2279</v>
      </c>
      <c r="J822" t="s">
        <v>2279</v>
      </c>
      <c r="K822" t="s">
        <v>2279</v>
      </c>
      <c r="L822" t="s">
        <v>2279</v>
      </c>
      <c r="M822" t="s">
        <v>2279</v>
      </c>
      <c r="N822" t="s">
        <v>2279</v>
      </c>
      <c r="O822" s="190" t="str">
        <f>"["&amp;$C822&amp;"]["&amp;$D822&amp;"]["&amp;$F822&amp;"]"</f>
        <v>[S06_InstallationsConservativeEstimates][2][ConservativeMethod]</v>
      </c>
    </row>
    <row r="823" spans="1:15" x14ac:dyDescent="0.3">
      <c r="A823" t="s">
        <v>2277</v>
      </c>
      <c r="B823" t="s">
        <v>1975</v>
      </c>
      <c r="C823" t="s">
        <v>1976</v>
      </c>
      <c r="D823">
        <v>1</v>
      </c>
      <c r="E823" t="s">
        <v>1447</v>
      </c>
      <c r="F823" t="s">
        <v>1981</v>
      </c>
      <c r="G823" t="s">
        <v>1737</v>
      </c>
      <c r="H823" t="s">
        <v>2279</v>
      </c>
      <c r="I823" t="s">
        <v>2279</v>
      </c>
      <c r="J823" t="s">
        <v>2279</v>
      </c>
      <c r="K823" t="s">
        <v>2279</v>
      </c>
      <c r="L823" t="s">
        <v>1438</v>
      </c>
      <c r="M823" t="s">
        <v>2279</v>
      </c>
      <c r="N823" t="s">
        <v>2279</v>
      </c>
      <c r="O823" s="190" t="str">
        <f>"["&amp;$C823&amp;"]["&amp;$D823&amp;"]["&amp;$F823&amp;"]"</f>
        <v>[S06_InstallationsConservativeEstimates][1][FurtherAction]</v>
      </c>
    </row>
    <row r="824" spans="1:15" x14ac:dyDescent="0.3">
      <c r="A824" t="s">
        <v>2277</v>
      </c>
      <c r="B824" t="s">
        <v>1975</v>
      </c>
      <c r="C824" t="s">
        <v>1976</v>
      </c>
      <c r="D824">
        <v>2</v>
      </c>
      <c r="E824" t="s">
        <v>1447</v>
      </c>
      <c r="F824" t="s">
        <v>1981</v>
      </c>
      <c r="G824" t="s">
        <v>1737</v>
      </c>
      <c r="H824" t="s">
        <v>2279</v>
      </c>
      <c r="I824" t="s">
        <v>2279</v>
      </c>
      <c r="J824" t="s">
        <v>2279</v>
      </c>
      <c r="K824" t="s">
        <v>2279</v>
      </c>
      <c r="L824" t="s">
        <v>1511</v>
      </c>
      <c r="M824" t="s">
        <v>2279</v>
      </c>
      <c r="N824" t="s">
        <v>2279</v>
      </c>
      <c r="O824" s="190" t="str">
        <f>"["&amp;$C824&amp;"]["&amp;$D824&amp;"]["&amp;$F824&amp;"]"</f>
        <v>[S06_InstallationsConservativeEstimates][2][FurtherAction]</v>
      </c>
    </row>
    <row r="825" spans="1:15" x14ac:dyDescent="0.3">
      <c r="A825" t="s">
        <v>2277</v>
      </c>
      <c r="B825" t="s">
        <v>1975</v>
      </c>
      <c r="C825" t="s">
        <v>1976</v>
      </c>
      <c r="D825">
        <v>1</v>
      </c>
      <c r="E825" t="s">
        <v>1447</v>
      </c>
      <c r="F825" t="s">
        <v>1982</v>
      </c>
      <c r="G825" t="s">
        <v>1741</v>
      </c>
      <c r="H825" t="s">
        <v>2373</v>
      </c>
      <c r="I825" t="s">
        <v>2279</v>
      </c>
      <c r="J825" t="s">
        <v>2279</v>
      </c>
      <c r="K825" t="s">
        <v>2279</v>
      </c>
      <c r="L825" t="s">
        <v>2279</v>
      </c>
      <c r="M825" t="s">
        <v>2279</v>
      </c>
      <c r="N825" t="s">
        <v>2279</v>
      </c>
      <c r="O825" s="190" t="str">
        <f>"["&amp;$C825&amp;"]["&amp;$D825&amp;"]["&amp;$F825&amp;"]"</f>
        <v>[S06_InstallationsConservativeEstimates][1][OtherAction]</v>
      </c>
    </row>
    <row r="826" spans="1:15" x14ac:dyDescent="0.3">
      <c r="A826" t="s">
        <v>2277</v>
      </c>
      <c r="B826" t="s">
        <v>1975</v>
      </c>
      <c r="C826" t="s">
        <v>1976</v>
      </c>
      <c r="D826">
        <v>2</v>
      </c>
      <c r="E826" t="s">
        <v>1447</v>
      </c>
      <c r="F826" t="s">
        <v>1982</v>
      </c>
      <c r="G826" t="s">
        <v>1741</v>
      </c>
      <c r="H826" t="s">
        <v>2374</v>
      </c>
      <c r="I826" t="s">
        <v>2279</v>
      </c>
      <c r="J826" t="s">
        <v>2279</v>
      </c>
      <c r="K826" t="s">
        <v>2279</v>
      </c>
      <c r="L826" t="s">
        <v>2279</v>
      </c>
      <c r="M826" t="s">
        <v>2279</v>
      </c>
      <c r="N826" t="s">
        <v>2279</v>
      </c>
      <c r="O826" s="190" t="str">
        <f>"["&amp;$C826&amp;"]["&amp;$D826&amp;"]["&amp;$F826&amp;"]"</f>
        <v>[S06_InstallationsConservativeEstimates][2][OtherAction]</v>
      </c>
    </row>
    <row r="827" spans="1:15" x14ac:dyDescent="0.3">
      <c r="A827" t="s">
        <v>2277</v>
      </c>
      <c r="B827" t="s">
        <v>1975</v>
      </c>
      <c r="C827" t="s">
        <v>1983</v>
      </c>
      <c r="D827">
        <v>1</v>
      </c>
      <c r="E827" t="s">
        <v>1447</v>
      </c>
      <c r="F827" t="s">
        <v>1984</v>
      </c>
      <c r="G827" t="s">
        <v>1748</v>
      </c>
      <c r="H827" t="s">
        <v>2279</v>
      </c>
      <c r="I827">
        <v>2</v>
      </c>
      <c r="J827" t="s">
        <v>2279</v>
      </c>
      <c r="K827" t="s">
        <v>2279</v>
      </c>
      <c r="L827" t="s">
        <v>2279</v>
      </c>
      <c r="M827" t="s">
        <v>2279</v>
      </c>
      <c r="N827" t="s">
        <v>2279</v>
      </c>
      <c r="O827" s="190" t="str">
        <f>"["&amp;$C827&amp;"]["&amp;$D827&amp;"]["&amp;$F827&amp;"]"</f>
        <v>[S06_NegativeOpinionInstallations][1][CountNegativeOpinions]</v>
      </c>
    </row>
    <row r="828" spans="1:15" x14ac:dyDescent="0.3">
      <c r="A828" t="s">
        <v>2277</v>
      </c>
      <c r="B828" t="s">
        <v>1975</v>
      </c>
      <c r="C828" t="s">
        <v>1983</v>
      </c>
      <c r="D828">
        <v>2</v>
      </c>
      <c r="E828" t="s">
        <v>1447</v>
      </c>
      <c r="F828" t="s">
        <v>1984</v>
      </c>
      <c r="G828" t="s">
        <v>1748</v>
      </c>
      <c r="H828" t="s">
        <v>2279</v>
      </c>
      <c r="I828">
        <v>0</v>
      </c>
      <c r="J828" t="s">
        <v>2279</v>
      </c>
      <c r="K828" t="s">
        <v>2279</v>
      </c>
      <c r="L828" t="s">
        <v>2279</v>
      </c>
      <c r="M828" t="s">
        <v>2279</v>
      </c>
      <c r="N828" t="s">
        <v>2279</v>
      </c>
      <c r="O828" s="190" t="str">
        <f>"["&amp;$C828&amp;"]["&amp;$D828&amp;"]["&amp;$F828&amp;"]"</f>
        <v>[S06_NegativeOpinionInstallations][2][CountNegativeOpinions]</v>
      </c>
    </row>
    <row r="829" spans="1:15" x14ac:dyDescent="0.3">
      <c r="A829" t="s">
        <v>2277</v>
      </c>
      <c r="B829" t="s">
        <v>1975</v>
      </c>
      <c r="C829" t="s">
        <v>1983</v>
      </c>
      <c r="D829">
        <v>3</v>
      </c>
      <c r="E829" t="s">
        <v>1447</v>
      </c>
      <c r="F829" t="s">
        <v>1984</v>
      </c>
      <c r="G829" t="s">
        <v>1748</v>
      </c>
      <c r="H829" t="s">
        <v>2279</v>
      </c>
      <c r="I829">
        <v>0</v>
      </c>
      <c r="J829" t="s">
        <v>2279</v>
      </c>
      <c r="K829" t="s">
        <v>2279</v>
      </c>
      <c r="L829" t="s">
        <v>2279</v>
      </c>
      <c r="M829" t="s">
        <v>2279</v>
      </c>
      <c r="N829" t="s">
        <v>2279</v>
      </c>
      <c r="O829" s="190" t="str">
        <f>"["&amp;$C829&amp;"]["&amp;$D829&amp;"]["&amp;$F829&amp;"]"</f>
        <v>[S06_NegativeOpinionInstallations][3][CountNegativeOpinions]</v>
      </c>
    </row>
    <row r="830" spans="1:15" x14ac:dyDescent="0.3">
      <c r="A830" t="s">
        <v>2277</v>
      </c>
      <c r="B830" t="s">
        <v>1975</v>
      </c>
      <c r="C830" t="s">
        <v>1983</v>
      </c>
      <c r="D830">
        <v>4</v>
      </c>
      <c r="E830" t="s">
        <v>1447</v>
      </c>
      <c r="F830" t="s">
        <v>1984</v>
      </c>
      <c r="G830" t="s">
        <v>1748</v>
      </c>
      <c r="H830" t="s">
        <v>2279</v>
      </c>
      <c r="I830">
        <v>0</v>
      </c>
      <c r="J830" t="s">
        <v>2279</v>
      </c>
      <c r="K830" t="s">
        <v>2279</v>
      </c>
      <c r="L830" t="s">
        <v>2279</v>
      </c>
      <c r="M830" t="s">
        <v>2279</v>
      </c>
      <c r="N830" t="s">
        <v>2279</v>
      </c>
      <c r="O830" s="190" t="str">
        <f>"["&amp;$C830&amp;"]["&amp;$D830&amp;"]["&amp;$F830&amp;"]"</f>
        <v>[S06_NegativeOpinionInstallations][4][CountNegativeOpinions]</v>
      </c>
    </row>
    <row r="831" spans="1:15" x14ac:dyDescent="0.3">
      <c r="A831" t="s">
        <v>2277</v>
      </c>
      <c r="B831" t="s">
        <v>1985</v>
      </c>
      <c r="C831" t="s">
        <v>1986</v>
      </c>
      <c r="D831">
        <v>0</v>
      </c>
      <c r="E831" t="s">
        <v>1447</v>
      </c>
      <c r="F831" t="s">
        <v>1986</v>
      </c>
      <c r="G831" t="s">
        <v>1759</v>
      </c>
      <c r="H831" t="s">
        <v>2279</v>
      </c>
      <c r="I831" t="s">
        <v>2279</v>
      </c>
      <c r="J831" t="s">
        <v>2279</v>
      </c>
      <c r="K831" t="s">
        <v>2279</v>
      </c>
      <c r="L831" t="s">
        <v>1419</v>
      </c>
      <c r="M831" t="s">
        <v>2279</v>
      </c>
      <c r="N831" t="s">
        <v>2279</v>
      </c>
      <c r="O831" s="190" t="str">
        <f>"["&amp;$C831&amp;"]["&amp;$D831&amp;"]["&amp;$F831&amp;"]"</f>
        <v>[InstallationsVerificationReportIssues][0][InstallationsVerificationReportIssues]</v>
      </c>
    </row>
    <row r="832" spans="1:15" x14ac:dyDescent="0.3">
      <c r="A832" t="s">
        <v>2277</v>
      </c>
      <c r="B832" t="s">
        <v>1985</v>
      </c>
      <c r="C832" t="s">
        <v>1987</v>
      </c>
      <c r="D832">
        <v>1</v>
      </c>
      <c r="E832" t="s">
        <v>1447</v>
      </c>
      <c r="F832" t="s">
        <v>1988</v>
      </c>
      <c r="G832" t="s">
        <v>1737</v>
      </c>
      <c r="H832" t="s">
        <v>2279</v>
      </c>
      <c r="I832" t="s">
        <v>2279</v>
      </c>
      <c r="J832" t="s">
        <v>2279</v>
      </c>
      <c r="K832" t="s">
        <v>2279</v>
      </c>
      <c r="L832" t="s">
        <v>1420</v>
      </c>
      <c r="M832" t="s">
        <v>2279</v>
      </c>
      <c r="N832" t="s">
        <v>2279</v>
      </c>
      <c r="O832" s="190" t="str">
        <f>"["&amp;$C832&amp;"]["&amp;$D832&amp;"]["&amp;$F832&amp;"]"</f>
        <v>[S06_InstallationsVerificationReportsIssueDetail][1][AnnexIActivity]</v>
      </c>
    </row>
    <row r="833" spans="1:15" x14ac:dyDescent="0.3">
      <c r="A833" t="s">
        <v>2277</v>
      </c>
      <c r="B833" t="s">
        <v>1985</v>
      </c>
      <c r="C833" t="s">
        <v>1987</v>
      </c>
      <c r="D833">
        <v>2</v>
      </c>
      <c r="E833" t="s">
        <v>1447</v>
      </c>
      <c r="F833" t="s">
        <v>1988</v>
      </c>
      <c r="G833" t="s">
        <v>1737</v>
      </c>
      <c r="H833" t="s">
        <v>2279</v>
      </c>
      <c r="I833" t="s">
        <v>2279</v>
      </c>
      <c r="J833" t="s">
        <v>2279</v>
      </c>
      <c r="K833" t="s">
        <v>2279</v>
      </c>
      <c r="L833" t="s">
        <v>1592</v>
      </c>
      <c r="M833" t="s">
        <v>2279</v>
      </c>
      <c r="N833" t="s">
        <v>2279</v>
      </c>
      <c r="O833" s="190" t="str">
        <f>"["&amp;$C833&amp;"]["&amp;$D833&amp;"]["&amp;$F833&amp;"]"</f>
        <v>[S06_InstallationsVerificationReportsIssueDetail][2][AnnexIActivity]</v>
      </c>
    </row>
    <row r="834" spans="1:15" x14ac:dyDescent="0.3">
      <c r="A834" t="s">
        <v>2277</v>
      </c>
      <c r="B834" t="s">
        <v>1985</v>
      </c>
      <c r="C834" t="s">
        <v>1987</v>
      </c>
      <c r="D834">
        <v>3</v>
      </c>
      <c r="E834" t="s">
        <v>1447</v>
      </c>
      <c r="F834" t="s">
        <v>1988</v>
      </c>
      <c r="G834" t="s">
        <v>1737</v>
      </c>
      <c r="H834" t="s">
        <v>2279</v>
      </c>
      <c r="I834" t="s">
        <v>2279</v>
      </c>
      <c r="J834" t="s">
        <v>2279</v>
      </c>
      <c r="K834" t="s">
        <v>2279</v>
      </c>
      <c r="L834" t="s">
        <v>1420</v>
      </c>
      <c r="M834" t="s">
        <v>2279</v>
      </c>
      <c r="N834" t="s">
        <v>2279</v>
      </c>
      <c r="O834" s="190" t="str">
        <f>"["&amp;$C834&amp;"]["&amp;$D834&amp;"]["&amp;$F834&amp;"]"</f>
        <v>[S06_InstallationsVerificationReportsIssueDetail][3][AnnexIActivity]</v>
      </c>
    </row>
    <row r="835" spans="1:15" x14ac:dyDescent="0.3">
      <c r="A835" t="s">
        <v>2277</v>
      </c>
      <c r="B835" t="s">
        <v>1985</v>
      </c>
      <c r="C835" t="s">
        <v>1987</v>
      </c>
      <c r="D835">
        <v>4</v>
      </c>
      <c r="E835" t="s">
        <v>1447</v>
      </c>
      <c r="F835" t="s">
        <v>1988</v>
      </c>
      <c r="G835" t="s">
        <v>1737</v>
      </c>
      <c r="H835" t="s">
        <v>2279</v>
      </c>
      <c r="I835" t="s">
        <v>2279</v>
      </c>
      <c r="J835" t="s">
        <v>2279</v>
      </c>
      <c r="K835" t="s">
        <v>2279</v>
      </c>
      <c r="L835" t="s">
        <v>1592</v>
      </c>
      <c r="M835" t="s">
        <v>2279</v>
      </c>
      <c r="N835" t="s">
        <v>2279</v>
      </c>
      <c r="O835" s="190" t="str">
        <f>"["&amp;$C835&amp;"]["&amp;$D835&amp;"]["&amp;$F835&amp;"]"</f>
        <v>[S06_InstallationsVerificationReportsIssueDetail][4][AnnexIActivity]</v>
      </c>
    </row>
    <row r="836" spans="1:15" x14ac:dyDescent="0.3">
      <c r="A836" t="s">
        <v>2277</v>
      </c>
      <c r="B836" t="s">
        <v>1985</v>
      </c>
      <c r="C836" t="s">
        <v>1987</v>
      </c>
      <c r="D836">
        <v>5</v>
      </c>
      <c r="E836" t="s">
        <v>1447</v>
      </c>
      <c r="F836" t="s">
        <v>1988</v>
      </c>
      <c r="G836" t="s">
        <v>1737</v>
      </c>
      <c r="H836" t="s">
        <v>2279</v>
      </c>
      <c r="I836" t="s">
        <v>2279</v>
      </c>
      <c r="J836" t="s">
        <v>2279</v>
      </c>
      <c r="K836" t="s">
        <v>2279</v>
      </c>
      <c r="L836" t="s">
        <v>1420</v>
      </c>
      <c r="M836" t="s">
        <v>2279</v>
      </c>
      <c r="N836" t="s">
        <v>2279</v>
      </c>
      <c r="O836" s="190" t="str">
        <f>"["&amp;$C836&amp;"]["&amp;$D836&amp;"]["&amp;$F836&amp;"]"</f>
        <v>[S06_InstallationsVerificationReportsIssueDetail][5][AnnexIActivity]</v>
      </c>
    </row>
    <row r="837" spans="1:15" x14ac:dyDescent="0.3">
      <c r="A837" t="s">
        <v>2277</v>
      </c>
      <c r="B837" t="s">
        <v>1985</v>
      </c>
      <c r="C837" t="s">
        <v>1987</v>
      </c>
      <c r="D837">
        <v>6</v>
      </c>
      <c r="E837" t="s">
        <v>1447</v>
      </c>
      <c r="F837" t="s">
        <v>1988</v>
      </c>
      <c r="G837" t="s">
        <v>1737</v>
      </c>
      <c r="H837" t="s">
        <v>2279</v>
      </c>
      <c r="I837" t="s">
        <v>2279</v>
      </c>
      <c r="J837" t="s">
        <v>2279</v>
      </c>
      <c r="K837" t="s">
        <v>2279</v>
      </c>
      <c r="L837" t="s">
        <v>1592</v>
      </c>
      <c r="M837" t="s">
        <v>2279</v>
      </c>
      <c r="N837" t="s">
        <v>2279</v>
      </c>
      <c r="O837" s="190" t="str">
        <f>"["&amp;$C837&amp;"]["&amp;$D837&amp;"]["&amp;$F837&amp;"]"</f>
        <v>[S06_InstallationsVerificationReportsIssueDetail][6][AnnexIActivity]</v>
      </c>
    </row>
    <row r="838" spans="1:15" x14ac:dyDescent="0.3">
      <c r="A838" t="s">
        <v>2277</v>
      </c>
      <c r="B838" t="s">
        <v>1985</v>
      </c>
      <c r="C838" t="s">
        <v>1987</v>
      </c>
      <c r="D838">
        <v>7</v>
      </c>
      <c r="E838" t="s">
        <v>1447</v>
      </c>
      <c r="F838" t="s">
        <v>1988</v>
      </c>
      <c r="G838" t="s">
        <v>1737</v>
      </c>
      <c r="H838" t="s">
        <v>2279</v>
      </c>
      <c r="I838" t="s">
        <v>2279</v>
      </c>
      <c r="J838" t="s">
        <v>2279</v>
      </c>
      <c r="K838" t="s">
        <v>2279</v>
      </c>
      <c r="L838" t="s">
        <v>1577</v>
      </c>
      <c r="M838" t="s">
        <v>2279</v>
      </c>
      <c r="N838" t="s">
        <v>2279</v>
      </c>
      <c r="O838" s="190" t="str">
        <f>"["&amp;$C838&amp;"]["&amp;$D838&amp;"]["&amp;$F838&amp;"]"</f>
        <v>[S06_InstallationsVerificationReportsIssueDetail][7][AnnexIActivity]</v>
      </c>
    </row>
    <row r="839" spans="1:15" x14ac:dyDescent="0.3">
      <c r="A839" t="s">
        <v>2277</v>
      </c>
      <c r="B839" t="s">
        <v>1985</v>
      </c>
      <c r="C839" t="s">
        <v>1987</v>
      </c>
      <c r="D839">
        <v>8</v>
      </c>
      <c r="E839" t="s">
        <v>1447</v>
      </c>
      <c r="F839" t="s">
        <v>1988</v>
      </c>
      <c r="G839" t="s">
        <v>1737</v>
      </c>
      <c r="H839" t="s">
        <v>2279</v>
      </c>
      <c r="I839" t="s">
        <v>2279</v>
      </c>
      <c r="J839" t="s">
        <v>2279</v>
      </c>
      <c r="K839" t="s">
        <v>2279</v>
      </c>
      <c r="L839" t="s">
        <v>1420</v>
      </c>
      <c r="M839" t="s">
        <v>2279</v>
      </c>
      <c r="N839" t="s">
        <v>2279</v>
      </c>
      <c r="O839" s="190" t="str">
        <f>"["&amp;$C839&amp;"]["&amp;$D839&amp;"]["&amp;$F839&amp;"]"</f>
        <v>[S06_InstallationsVerificationReportsIssueDetail][8][AnnexIActivity]</v>
      </c>
    </row>
    <row r="840" spans="1:15" x14ac:dyDescent="0.3">
      <c r="A840" t="s">
        <v>2277</v>
      </c>
      <c r="B840" t="s">
        <v>1985</v>
      </c>
      <c r="C840" t="s">
        <v>1987</v>
      </c>
      <c r="D840">
        <v>9</v>
      </c>
      <c r="E840" t="s">
        <v>1447</v>
      </c>
      <c r="F840" t="s">
        <v>1988</v>
      </c>
      <c r="G840" t="s">
        <v>1737</v>
      </c>
      <c r="H840" t="s">
        <v>2279</v>
      </c>
      <c r="I840" t="s">
        <v>2279</v>
      </c>
      <c r="J840" t="s">
        <v>2279</v>
      </c>
      <c r="K840" t="s">
        <v>2279</v>
      </c>
      <c r="L840" t="s">
        <v>1577</v>
      </c>
      <c r="M840" t="s">
        <v>2279</v>
      </c>
      <c r="N840" t="s">
        <v>2279</v>
      </c>
      <c r="O840" s="190" t="str">
        <f>"["&amp;$C840&amp;"]["&amp;$D840&amp;"]["&amp;$F840&amp;"]"</f>
        <v>[S06_InstallationsVerificationReportsIssueDetail][9][AnnexIActivity]</v>
      </c>
    </row>
    <row r="841" spans="1:15" x14ac:dyDescent="0.3">
      <c r="A841" t="s">
        <v>2277</v>
      </c>
      <c r="B841" t="s">
        <v>1985</v>
      </c>
      <c r="C841" t="s">
        <v>1987</v>
      </c>
      <c r="D841">
        <v>10</v>
      </c>
      <c r="E841" t="s">
        <v>1447</v>
      </c>
      <c r="F841" t="s">
        <v>1988</v>
      </c>
      <c r="G841" t="s">
        <v>1737</v>
      </c>
      <c r="H841" t="s">
        <v>2279</v>
      </c>
      <c r="I841" t="s">
        <v>2279</v>
      </c>
      <c r="J841" t="s">
        <v>2279</v>
      </c>
      <c r="K841" t="s">
        <v>2279</v>
      </c>
      <c r="L841" t="s">
        <v>1592</v>
      </c>
      <c r="M841" t="s">
        <v>2279</v>
      </c>
      <c r="N841" t="s">
        <v>2279</v>
      </c>
      <c r="O841" s="190" t="str">
        <f>"["&amp;$C841&amp;"]["&amp;$D841&amp;"]["&amp;$F841&amp;"]"</f>
        <v>[S06_InstallationsVerificationReportsIssueDetail][10][AnnexIActivity]</v>
      </c>
    </row>
    <row r="842" spans="1:15" x14ac:dyDescent="0.3">
      <c r="A842" t="s">
        <v>2277</v>
      </c>
      <c r="B842" t="s">
        <v>1985</v>
      </c>
      <c r="C842" t="s">
        <v>1987</v>
      </c>
      <c r="D842">
        <v>11</v>
      </c>
      <c r="E842" t="s">
        <v>1447</v>
      </c>
      <c r="F842" t="s">
        <v>1988</v>
      </c>
      <c r="G842" t="s">
        <v>1737</v>
      </c>
      <c r="H842" t="s">
        <v>2279</v>
      </c>
      <c r="I842" t="s">
        <v>2279</v>
      </c>
      <c r="J842" t="s">
        <v>2279</v>
      </c>
      <c r="K842" t="s">
        <v>2279</v>
      </c>
      <c r="L842" t="s">
        <v>1587</v>
      </c>
      <c r="M842" t="s">
        <v>2279</v>
      </c>
      <c r="N842" t="s">
        <v>2279</v>
      </c>
      <c r="O842" s="190" t="str">
        <f>"["&amp;$C842&amp;"]["&amp;$D842&amp;"]["&amp;$F842&amp;"]"</f>
        <v>[S06_InstallationsVerificationReportsIssueDetail][11][AnnexIActivity]</v>
      </c>
    </row>
    <row r="843" spans="1:15" x14ac:dyDescent="0.3">
      <c r="A843" t="s">
        <v>2277</v>
      </c>
      <c r="B843" t="s">
        <v>1985</v>
      </c>
      <c r="C843" t="s">
        <v>1987</v>
      </c>
      <c r="D843">
        <v>1</v>
      </c>
      <c r="E843" t="s">
        <v>1447</v>
      </c>
      <c r="F843" t="s">
        <v>1989</v>
      </c>
      <c r="G843" t="s">
        <v>1737</v>
      </c>
      <c r="H843" t="s">
        <v>2279</v>
      </c>
      <c r="I843" t="s">
        <v>2279</v>
      </c>
      <c r="J843" t="s">
        <v>2279</v>
      </c>
      <c r="K843" t="s">
        <v>2279</v>
      </c>
      <c r="L843" t="s">
        <v>1439</v>
      </c>
      <c r="M843" t="s">
        <v>2279</v>
      </c>
      <c r="N843" t="s">
        <v>2279</v>
      </c>
      <c r="O843" s="190" t="str">
        <f>"["&amp;$C843&amp;"]["&amp;$D843&amp;"]["&amp;$F843&amp;"]"</f>
        <v>[S06_InstallationsVerificationReportsIssueDetail][1][TypeOfIssue]</v>
      </c>
    </row>
    <row r="844" spans="1:15" x14ac:dyDescent="0.3">
      <c r="A844" t="s">
        <v>2277</v>
      </c>
      <c r="B844" t="s">
        <v>1985</v>
      </c>
      <c r="C844" t="s">
        <v>1987</v>
      </c>
      <c r="D844">
        <v>2</v>
      </c>
      <c r="E844" t="s">
        <v>1447</v>
      </c>
      <c r="F844" t="s">
        <v>1989</v>
      </c>
      <c r="G844" t="s">
        <v>1737</v>
      </c>
      <c r="H844" t="s">
        <v>2279</v>
      </c>
      <c r="I844" t="s">
        <v>2279</v>
      </c>
      <c r="J844" t="s">
        <v>2279</v>
      </c>
      <c r="K844" t="s">
        <v>2279</v>
      </c>
      <c r="L844" t="s">
        <v>1439</v>
      </c>
      <c r="M844" t="s">
        <v>2279</v>
      </c>
      <c r="N844" t="s">
        <v>2279</v>
      </c>
      <c r="O844" s="190" t="str">
        <f>"["&amp;$C844&amp;"]["&amp;$D844&amp;"]["&amp;$F844&amp;"]"</f>
        <v>[S06_InstallationsVerificationReportsIssueDetail][2][TypeOfIssue]</v>
      </c>
    </row>
    <row r="845" spans="1:15" x14ac:dyDescent="0.3">
      <c r="A845" t="s">
        <v>2277</v>
      </c>
      <c r="B845" t="s">
        <v>1985</v>
      </c>
      <c r="C845" t="s">
        <v>1987</v>
      </c>
      <c r="D845">
        <v>3</v>
      </c>
      <c r="E845" t="s">
        <v>1447</v>
      </c>
      <c r="F845" t="s">
        <v>1989</v>
      </c>
      <c r="G845" t="s">
        <v>1737</v>
      </c>
      <c r="H845" t="s">
        <v>2279</v>
      </c>
      <c r="I845" t="s">
        <v>2279</v>
      </c>
      <c r="J845" t="s">
        <v>2279</v>
      </c>
      <c r="K845" t="s">
        <v>2279</v>
      </c>
      <c r="L845" t="s">
        <v>1467</v>
      </c>
      <c r="M845" t="s">
        <v>2279</v>
      </c>
      <c r="N845" t="s">
        <v>2279</v>
      </c>
      <c r="O845" s="190" t="str">
        <f>"["&amp;$C845&amp;"]["&amp;$D845&amp;"]["&amp;$F845&amp;"]"</f>
        <v>[S06_InstallationsVerificationReportsIssueDetail][3][TypeOfIssue]</v>
      </c>
    </row>
    <row r="846" spans="1:15" x14ac:dyDescent="0.3">
      <c r="A846" t="s">
        <v>2277</v>
      </c>
      <c r="B846" t="s">
        <v>1985</v>
      </c>
      <c r="C846" t="s">
        <v>1987</v>
      </c>
      <c r="D846">
        <v>4</v>
      </c>
      <c r="E846" t="s">
        <v>1447</v>
      </c>
      <c r="F846" t="s">
        <v>1989</v>
      </c>
      <c r="G846" t="s">
        <v>1737</v>
      </c>
      <c r="H846" t="s">
        <v>2279</v>
      </c>
      <c r="I846" t="s">
        <v>2279</v>
      </c>
      <c r="J846" t="s">
        <v>2279</v>
      </c>
      <c r="K846" t="s">
        <v>2279</v>
      </c>
      <c r="L846" t="s">
        <v>1467</v>
      </c>
      <c r="M846" t="s">
        <v>2279</v>
      </c>
      <c r="N846" t="s">
        <v>2279</v>
      </c>
      <c r="O846" s="190" t="str">
        <f>"["&amp;$C846&amp;"]["&amp;$D846&amp;"]["&amp;$F846&amp;"]"</f>
        <v>[S06_InstallationsVerificationReportsIssueDetail][4][TypeOfIssue]</v>
      </c>
    </row>
    <row r="847" spans="1:15" x14ac:dyDescent="0.3">
      <c r="A847" t="s">
        <v>2277</v>
      </c>
      <c r="B847" t="s">
        <v>1985</v>
      </c>
      <c r="C847" t="s">
        <v>1987</v>
      </c>
      <c r="D847">
        <v>5</v>
      </c>
      <c r="E847" t="s">
        <v>1447</v>
      </c>
      <c r="F847" t="s">
        <v>1989</v>
      </c>
      <c r="G847" t="s">
        <v>1737</v>
      </c>
      <c r="H847" t="s">
        <v>2279</v>
      </c>
      <c r="I847" t="s">
        <v>2279</v>
      </c>
      <c r="J847" t="s">
        <v>2279</v>
      </c>
      <c r="K847" t="s">
        <v>2279</v>
      </c>
      <c r="L847" t="s">
        <v>1492</v>
      </c>
      <c r="M847" t="s">
        <v>2279</v>
      </c>
      <c r="N847" t="s">
        <v>2279</v>
      </c>
      <c r="O847" s="190" t="str">
        <f>"["&amp;$C847&amp;"]["&amp;$D847&amp;"]["&amp;$F847&amp;"]"</f>
        <v>[S06_InstallationsVerificationReportsIssueDetail][5][TypeOfIssue]</v>
      </c>
    </row>
    <row r="848" spans="1:15" x14ac:dyDescent="0.3">
      <c r="A848" t="s">
        <v>2277</v>
      </c>
      <c r="B848" t="s">
        <v>1985</v>
      </c>
      <c r="C848" t="s">
        <v>1987</v>
      </c>
      <c r="D848">
        <v>6</v>
      </c>
      <c r="E848" t="s">
        <v>1447</v>
      </c>
      <c r="F848" t="s">
        <v>1989</v>
      </c>
      <c r="G848" t="s">
        <v>1737</v>
      </c>
      <c r="H848" t="s">
        <v>2279</v>
      </c>
      <c r="I848" t="s">
        <v>2279</v>
      </c>
      <c r="J848" t="s">
        <v>2279</v>
      </c>
      <c r="K848" t="s">
        <v>2279</v>
      </c>
      <c r="L848" t="s">
        <v>1492</v>
      </c>
      <c r="M848" t="s">
        <v>2279</v>
      </c>
      <c r="N848" t="s">
        <v>2279</v>
      </c>
      <c r="O848" s="190" t="str">
        <f>"["&amp;$C848&amp;"]["&amp;$D848&amp;"]["&amp;$F848&amp;"]"</f>
        <v>[S06_InstallationsVerificationReportsIssueDetail][6][TypeOfIssue]</v>
      </c>
    </row>
    <row r="849" spans="1:15" x14ac:dyDescent="0.3">
      <c r="A849" t="s">
        <v>2277</v>
      </c>
      <c r="B849" t="s">
        <v>1985</v>
      </c>
      <c r="C849" t="s">
        <v>1987</v>
      </c>
      <c r="D849">
        <v>7</v>
      </c>
      <c r="E849" t="s">
        <v>1447</v>
      </c>
      <c r="F849" t="s">
        <v>1989</v>
      </c>
      <c r="G849" t="s">
        <v>1737</v>
      </c>
      <c r="H849" t="s">
        <v>2279</v>
      </c>
      <c r="I849" t="s">
        <v>2279</v>
      </c>
      <c r="J849" t="s">
        <v>2279</v>
      </c>
      <c r="K849" t="s">
        <v>2279</v>
      </c>
      <c r="L849" t="s">
        <v>1492</v>
      </c>
      <c r="M849" t="s">
        <v>2279</v>
      </c>
      <c r="N849" t="s">
        <v>2279</v>
      </c>
      <c r="O849" s="190" t="str">
        <f>"["&amp;$C849&amp;"]["&amp;$D849&amp;"]["&amp;$F849&amp;"]"</f>
        <v>[S06_InstallationsVerificationReportsIssueDetail][7][TypeOfIssue]</v>
      </c>
    </row>
    <row r="850" spans="1:15" x14ac:dyDescent="0.3">
      <c r="A850" t="s">
        <v>2277</v>
      </c>
      <c r="B850" t="s">
        <v>1985</v>
      </c>
      <c r="C850" t="s">
        <v>1987</v>
      </c>
      <c r="D850">
        <v>8</v>
      </c>
      <c r="E850" t="s">
        <v>1447</v>
      </c>
      <c r="F850" t="s">
        <v>1989</v>
      </c>
      <c r="G850" t="s">
        <v>1737</v>
      </c>
      <c r="H850" t="s">
        <v>2279</v>
      </c>
      <c r="I850" t="s">
        <v>2279</v>
      </c>
      <c r="J850" t="s">
        <v>2279</v>
      </c>
      <c r="K850" t="s">
        <v>2279</v>
      </c>
      <c r="L850" t="s">
        <v>1512</v>
      </c>
      <c r="M850" t="s">
        <v>2279</v>
      </c>
      <c r="N850" t="s">
        <v>2279</v>
      </c>
      <c r="O850" s="190" t="str">
        <f>"["&amp;$C850&amp;"]["&amp;$D850&amp;"]["&amp;$F850&amp;"]"</f>
        <v>[S06_InstallationsVerificationReportsIssueDetail][8][TypeOfIssue]</v>
      </c>
    </row>
    <row r="851" spans="1:15" x14ac:dyDescent="0.3">
      <c r="A851" t="s">
        <v>2277</v>
      </c>
      <c r="B851" t="s">
        <v>1985</v>
      </c>
      <c r="C851" t="s">
        <v>1987</v>
      </c>
      <c r="D851">
        <v>9</v>
      </c>
      <c r="E851" t="s">
        <v>1447</v>
      </c>
      <c r="F851" t="s">
        <v>1989</v>
      </c>
      <c r="G851" t="s">
        <v>1737</v>
      </c>
      <c r="H851" t="s">
        <v>2279</v>
      </c>
      <c r="I851" t="s">
        <v>2279</v>
      </c>
      <c r="J851" t="s">
        <v>2279</v>
      </c>
      <c r="K851" t="s">
        <v>2279</v>
      </c>
      <c r="L851" t="s">
        <v>1512</v>
      </c>
      <c r="M851" t="s">
        <v>2279</v>
      </c>
      <c r="N851" t="s">
        <v>2279</v>
      </c>
      <c r="O851" s="190" t="str">
        <f>"["&amp;$C851&amp;"]["&amp;$D851&amp;"]["&amp;$F851&amp;"]"</f>
        <v>[S06_InstallationsVerificationReportsIssueDetail][9][TypeOfIssue]</v>
      </c>
    </row>
    <row r="852" spans="1:15" x14ac:dyDescent="0.3">
      <c r="A852" t="s">
        <v>2277</v>
      </c>
      <c r="B852" t="s">
        <v>1985</v>
      </c>
      <c r="C852" t="s">
        <v>1987</v>
      </c>
      <c r="D852">
        <v>10</v>
      </c>
      <c r="E852" t="s">
        <v>1447</v>
      </c>
      <c r="F852" t="s">
        <v>1989</v>
      </c>
      <c r="G852" t="s">
        <v>1737</v>
      </c>
      <c r="H852" t="s">
        <v>2279</v>
      </c>
      <c r="I852" t="s">
        <v>2279</v>
      </c>
      <c r="J852" t="s">
        <v>2279</v>
      </c>
      <c r="K852" t="s">
        <v>2279</v>
      </c>
      <c r="L852" t="s">
        <v>1512</v>
      </c>
      <c r="M852" t="s">
        <v>2279</v>
      </c>
      <c r="N852" t="s">
        <v>2279</v>
      </c>
      <c r="O852" s="190" t="str">
        <f>"["&amp;$C852&amp;"]["&amp;$D852&amp;"]["&amp;$F852&amp;"]"</f>
        <v>[S06_InstallationsVerificationReportsIssueDetail][10][TypeOfIssue]</v>
      </c>
    </row>
    <row r="853" spans="1:15" x14ac:dyDescent="0.3">
      <c r="A853" t="s">
        <v>2277</v>
      </c>
      <c r="B853" t="s">
        <v>1985</v>
      </c>
      <c r="C853" t="s">
        <v>1987</v>
      </c>
      <c r="D853">
        <v>11</v>
      </c>
      <c r="E853" t="s">
        <v>1447</v>
      </c>
      <c r="F853" t="s">
        <v>1989</v>
      </c>
      <c r="G853" t="s">
        <v>1737</v>
      </c>
      <c r="H853" t="s">
        <v>2279</v>
      </c>
      <c r="I853" t="s">
        <v>2279</v>
      </c>
      <c r="J853" t="s">
        <v>2279</v>
      </c>
      <c r="K853" t="s">
        <v>2279</v>
      </c>
      <c r="L853" t="s">
        <v>1512</v>
      </c>
      <c r="M853" t="s">
        <v>2279</v>
      </c>
      <c r="N853" t="s">
        <v>2279</v>
      </c>
      <c r="O853" s="190" t="str">
        <f>"["&amp;$C853&amp;"]["&amp;$D853&amp;"]["&amp;$F853&amp;"]"</f>
        <v>[S06_InstallationsVerificationReportsIssueDetail][11][TypeOfIssue]</v>
      </c>
    </row>
    <row r="854" spans="1:15" x14ac:dyDescent="0.3">
      <c r="A854" t="s">
        <v>2277</v>
      </c>
      <c r="B854" t="s">
        <v>1985</v>
      </c>
      <c r="C854" t="s">
        <v>1987</v>
      </c>
      <c r="D854">
        <v>1</v>
      </c>
      <c r="E854" t="s">
        <v>1447</v>
      </c>
      <c r="F854" t="s">
        <v>1798</v>
      </c>
      <c r="G854" t="s">
        <v>1748</v>
      </c>
      <c r="H854" t="s">
        <v>2279</v>
      </c>
      <c r="I854">
        <v>4</v>
      </c>
      <c r="J854" t="s">
        <v>2279</v>
      </c>
      <c r="K854" t="s">
        <v>2279</v>
      </c>
      <c r="L854" t="s">
        <v>2279</v>
      </c>
      <c r="M854" t="s">
        <v>2279</v>
      </c>
      <c r="N854" t="s">
        <v>2279</v>
      </c>
      <c r="O854" s="190" t="str">
        <f>"["&amp;$C854&amp;"]["&amp;$D854&amp;"]["&amp;$F854&amp;"]"</f>
        <v>[S06_InstallationsVerificationReportsIssueDetail][1][NumberOfInstallations]</v>
      </c>
    </row>
    <row r="855" spans="1:15" x14ac:dyDescent="0.3">
      <c r="A855" t="s">
        <v>2277</v>
      </c>
      <c r="B855" t="s">
        <v>1985</v>
      </c>
      <c r="C855" t="s">
        <v>1987</v>
      </c>
      <c r="D855">
        <v>2</v>
      </c>
      <c r="E855" t="s">
        <v>1447</v>
      </c>
      <c r="F855" t="s">
        <v>1798</v>
      </c>
      <c r="G855" t="s">
        <v>1748</v>
      </c>
      <c r="H855" t="s">
        <v>2279</v>
      </c>
      <c r="I855">
        <v>1</v>
      </c>
      <c r="J855" t="s">
        <v>2279</v>
      </c>
      <c r="K855" t="s">
        <v>2279</v>
      </c>
      <c r="L855" t="s">
        <v>2279</v>
      </c>
      <c r="M855" t="s">
        <v>2279</v>
      </c>
      <c r="N855" t="s">
        <v>2279</v>
      </c>
      <c r="O855" s="190" t="str">
        <f>"["&amp;$C855&amp;"]["&amp;$D855&amp;"]["&amp;$F855&amp;"]"</f>
        <v>[S06_InstallationsVerificationReportsIssueDetail][2][NumberOfInstallations]</v>
      </c>
    </row>
    <row r="856" spans="1:15" x14ac:dyDescent="0.3">
      <c r="A856" t="s">
        <v>2277</v>
      </c>
      <c r="B856" t="s">
        <v>1985</v>
      </c>
      <c r="C856" t="s">
        <v>1987</v>
      </c>
      <c r="D856">
        <v>3</v>
      </c>
      <c r="E856" t="s">
        <v>1447</v>
      </c>
      <c r="F856" t="s">
        <v>1798</v>
      </c>
      <c r="G856" t="s">
        <v>1748</v>
      </c>
      <c r="H856" t="s">
        <v>2279</v>
      </c>
      <c r="I856">
        <v>24</v>
      </c>
      <c r="J856" t="s">
        <v>2279</v>
      </c>
      <c r="K856" t="s">
        <v>2279</v>
      </c>
      <c r="L856" t="s">
        <v>2279</v>
      </c>
      <c r="M856" t="s">
        <v>2279</v>
      </c>
      <c r="N856" t="s">
        <v>2279</v>
      </c>
      <c r="O856" s="190" t="str">
        <f>"["&amp;$C856&amp;"]["&amp;$D856&amp;"]["&amp;$F856&amp;"]"</f>
        <v>[S06_InstallationsVerificationReportsIssueDetail][3][NumberOfInstallations]</v>
      </c>
    </row>
    <row r="857" spans="1:15" x14ac:dyDescent="0.3">
      <c r="A857" t="s">
        <v>2277</v>
      </c>
      <c r="B857" t="s">
        <v>1985</v>
      </c>
      <c r="C857" t="s">
        <v>1987</v>
      </c>
      <c r="D857">
        <v>4</v>
      </c>
      <c r="E857" t="s">
        <v>1447</v>
      </c>
      <c r="F857" t="s">
        <v>1798</v>
      </c>
      <c r="G857" t="s">
        <v>1748</v>
      </c>
      <c r="H857" t="s">
        <v>2279</v>
      </c>
      <c r="I857">
        <v>1</v>
      </c>
      <c r="J857" t="s">
        <v>2279</v>
      </c>
      <c r="K857" t="s">
        <v>2279</v>
      </c>
      <c r="L857" t="s">
        <v>2279</v>
      </c>
      <c r="M857" t="s">
        <v>2279</v>
      </c>
      <c r="N857" t="s">
        <v>2279</v>
      </c>
      <c r="O857" s="190" t="str">
        <f>"["&amp;$C857&amp;"]["&amp;$D857&amp;"]["&amp;$F857&amp;"]"</f>
        <v>[S06_InstallationsVerificationReportsIssueDetail][4][NumberOfInstallations]</v>
      </c>
    </row>
    <row r="858" spans="1:15" x14ac:dyDescent="0.3">
      <c r="A858" t="s">
        <v>2277</v>
      </c>
      <c r="B858" t="s">
        <v>1985</v>
      </c>
      <c r="C858" t="s">
        <v>1987</v>
      </c>
      <c r="D858">
        <v>5</v>
      </c>
      <c r="E858" t="s">
        <v>1447</v>
      </c>
      <c r="F858" t="s">
        <v>1798</v>
      </c>
      <c r="G858" t="s">
        <v>1748</v>
      </c>
      <c r="H858" t="s">
        <v>2279</v>
      </c>
      <c r="I858">
        <v>27</v>
      </c>
      <c r="J858" t="s">
        <v>2279</v>
      </c>
      <c r="K858" t="s">
        <v>2279</v>
      </c>
      <c r="L858" t="s">
        <v>2279</v>
      </c>
      <c r="M858" t="s">
        <v>2279</v>
      </c>
      <c r="N858" t="s">
        <v>2279</v>
      </c>
      <c r="O858" s="190" t="str">
        <f>"["&amp;$C858&amp;"]["&amp;$D858&amp;"]["&amp;$F858&amp;"]"</f>
        <v>[S06_InstallationsVerificationReportsIssueDetail][5][NumberOfInstallations]</v>
      </c>
    </row>
    <row r="859" spans="1:15" x14ac:dyDescent="0.3">
      <c r="A859" t="s">
        <v>2277</v>
      </c>
      <c r="B859" t="s">
        <v>1985</v>
      </c>
      <c r="C859" t="s">
        <v>1987</v>
      </c>
      <c r="D859">
        <v>6</v>
      </c>
      <c r="E859" t="s">
        <v>1447</v>
      </c>
      <c r="F859" t="s">
        <v>1798</v>
      </c>
      <c r="G859" t="s">
        <v>1748</v>
      </c>
      <c r="H859" t="s">
        <v>2279</v>
      </c>
      <c r="I859">
        <v>1</v>
      </c>
      <c r="J859" t="s">
        <v>2279</v>
      </c>
      <c r="K859" t="s">
        <v>2279</v>
      </c>
      <c r="L859" t="s">
        <v>2279</v>
      </c>
      <c r="M859" t="s">
        <v>2279</v>
      </c>
      <c r="N859" t="s">
        <v>2279</v>
      </c>
      <c r="O859" s="190" t="str">
        <f>"["&amp;$C859&amp;"]["&amp;$D859&amp;"]["&amp;$F859&amp;"]"</f>
        <v>[S06_InstallationsVerificationReportsIssueDetail][6][NumberOfInstallations]</v>
      </c>
    </row>
    <row r="860" spans="1:15" x14ac:dyDescent="0.3">
      <c r="A860" t="s">
        <v>2277</v>
      </c>
      <c r="B860" t="s">
        <v>1985</v>
      </c>
      <c r="C860" t="s">
        <v>1987</v>
      </c>
      <c r="D860">
        <v>7</v>
      </c>
      <c r="E860" t="s">
        <v>1447</v>
      </c>
      <c r="F860" t="s">
        <v>1798</v>
      </c>
      <c r="G860" t="s">
        <v>1748</v>
      </c>
      <c r="H860" t="s">
        <v>2279</v>
      </c>
      <c r="I860">
        <v>1</v>
      </c>
      <c r="J860" t="s">
        <v>2279</v>
      </c>
      <c r="K860" t="s">
        <v>2279</v>
      </c>
      <c r="L860" t="s">
        <v>2279</v>
      </c>
      <c r="M860" t="s">
        <v>2279</v>
      </c>
      <c r="N860" t="s">
        <v>2279</v>
      </c>
      <c r="O860" s="190" t="str">
        <f>"["&amp;$C860&amp;"]["&amp;$D860&amp;"]["&amp;$F860&amp;"]"</f>
        <v>[S06_InstallationsVerificationReportsIssueDetail][7][NumberOfInstallations]</v>
      </c>
    </row>
    <row r="861" spans="1:15" x14ac:dyDescent="0.3">
      <c r="A861" t="s">
        <v>2277</v>
      </c>
      <c r="B861" t="s">
        <v>1985</v>
      </c>
      <c r="C861" t="s">
        <v>1987</v>
      </c>
      <c r="D861">
        <v>8</v>
      </c>
      <c r="E861" t="s">
        <v>1447</v>
      </c>
      <c r="F861" t="s">
        <v>1798</v>
      </c>
      <c r="G861" t="s">
        <v>1748</v>
      </c>
      <c r="H861" t="s">
        <v>2279</v>
      </c>
      <c r="I861">
        <v>48</v>
      </c>
      <c r="J861" t="s">
        <v>2279</v>
      </c>
      <c r="K861" t="s">
        <v>2279</v>
      </c>
      <c r="L861" t="s">
        <v>2279</v>
      </c>
      <c r="M861" t="s">
        <v>2279</v>
      </c>
      <c r="N861" t="s">
        <v>2279</v>
      </c>
      <c r="O861" s="190" t="str">
        <f>"["&amp;$C861&amp;"]["&amp;$D861&amp;"]["&amp;$F861&amp;"]"</f>
        <v>[S06_InstallationsVerificationReportsIssueDetail][8][NumberOfInstallations]</v>
      </c>
    </row>
    <row r="862" spans="1:15" x14ac:dyDescent="0.3">
      <c r="A862" t="s">
        <v>2277</v>
      </c>
      <c r="B862" t="s">
        <v>1985</v>
      </c>
      <c r="C862" t="s">
        <v>1987</v>
      </c>
      <c r="D862">
        <v>9</v>
      </c>
      <c r="E862" t="s">
        <v>1447</v>
      </c>
      <c r="F862" t="s">
        <v>1798</v>
      </c>
      <c r="G862" t="s">
        <v>1748</v>
      </c>
      <c r="H862" t="s">
        <v>2279</v>
      </c>
      <c r="I862">
        <v>1</v>
      </c>
      <c r="J862" t="s">
        <v>2279</v>
      </c>
      <c r="K862" t="s">
        <v>2279</v>
      </c>
      <c r="L862" t="s">
        <v>2279</v>
      </c>
      <c r="M862" t="s">
        <v>2279</v>
      </c>
      <c r="N862" t="s">
        <v>2279</v>
      </c>
      <c r="O862" s="190" t="str">
        <f>"["&amp;$C862&amp;"]["&amp;$D862&amp;"]["&amp;$F862&amp;"]"</f>
        <v>[S06_InstallationsVerificationReportsIssueDetail][9][NumberOfInstallations]</v>
      </c>
    </row>
    <row r="863" spans="1:15" x14ac:dyDescent="0.3">
      <c r="A863" t="s">
        <v>2277</v>
      </c>
      <c r="B863" t="s">
        <v>1985</v>
      </c>
      <c r="C863" t="s">
        <v>1987</v>
      </c>
      <c r="D863">
        <v>10</v>
      </c>
      <c r="E863" t="s">
        <v>1447</v>
      </c>
      <c r="F863" t="s">
        <v>1798</v>
      </c>
      <c r="G863" t="s">
        <v>1748</v>
      </c>
      <c r="H863" t="s">
        <v>2279</v>
      </c>
      <c r="I863">
        <v>1</v>
      </c>
      <c r="J863" t="s">
        <v>2279</v>
      </c>
      <c r="K863" t="s">
        <v>2279</v>
      </c>
      <c r="L863" t="s">
        <v>2279</v>
      </c>
      <c r="M863" t="s">
        <v>2279</v>
      </c>
      <c r="N863" t="s">
        <v>2279</v>
      </c>
      <c r="O863" s="190" t="str">
        <f>"["&amp;$C863&amp;"]["&amp;$D863&amp;"]["&amp;$F863&amp;"]"</f>
        <v>[S06_InstallationsVerificationReportsIssueDetail][10][NumberOfInstallations]</v>
      </c>
    </row>
    <row r="864" spans="1:15" x14ac:dyDescent="0.3">
      <c r="A864" t="s">
        <v>2277</v>
      </c>
      <c r="B864" t="s">
        <v>1985</v>
      </c>
      <c r="C864" t="s">
        <v>1987</v>
      </c>
      <c r="D864">
        <v>11</v>
      </c>
      <c r="E864" t="s">
        <v>1447</v>
      </c>
      <c r="F864" t="s">
        <v>1798</v>
      </c>
      <c r="G864" t="s">
        <v>1748</v>
      </c>
      <c r="H864" t="s">
        <v>2279</v>
      </c>
      <c r="I864">
        <v>1</v>
      </c>
      <c r="J864" t="s">
        <v>2279</v>
      </c>
      <c r="K864" t="s">
        <v>2279</v>
      </c>
      <c r="L864" t="s">
        <v>2279</v>
      </c>
      <c r="M864" t="s">
        <v>2279</v>
      </c>
      <c r="N864" t="s">
        <v>2279</v>
      </c>
      <c r="O864" s="190" t="str">
        <f>"["&amp;$C864&amp;"]["&amp;$D864&amp;"]["&amp;$F864&amp;"]"</f>
        <v>[S06_InstallationsVerificationReportsIssueDetail][11][NumberOfInstallations]</v>
      </c>
    </row>
    <row r="865" spans="1:15" x14ac:dyDescent="0.3">
      <c r="A865" t="s">
        <v>2277</v>
      </c>
      <c r="B865" t="s">
        <v>1985</v>
      </c>
      <c r="C865" t="s">
        <v>1987</v>
      </c>
      <c r="D865">
        <v>1</v>
      </c>
      <c r="E865" t="s">
        <v>1447</v>
      </c>
      <c r="F865" t="s">
        <v>1972</v>
      </c>
      <c r="G865" t="s">
        <v>1748</v>
      </c>
      <c r="H865" t="s">
        <v>2279</v>
      </c>
      <c r="I865">
        <v>4</v>
      </c>
      <c r="J865" t="s">
        <v>2279</v>
      </c>
      <c r="K865" t="s">
        <v>2279</v>
      </c>
      <c r="L865" t="s">
        <v>2279</v>
      </c>
      <c r="M865" t="s">
        <v>2279</v>
      </c>
      <c r="N865" t="s">
        <v>2279</v>
      </c>
      <c r="O865" s="190" t="str">
        <f>"["&amp;$C865&amp;"]["&amp;$D865&amp;"]["&amp;$F865&amp;"]"</f>
        <v>[S06_InstallationsVerificationReportsIssueDetail][1][NumberOfIssues]</v>
      </c>
    </row>
    <row r="866" spans="1:15" x14ac:dyDescent="0.3">
      <c r="A866" t="s">
        <v>2277</v>
      </c>
      <c r="B866" t="s">
        <v>1985</v>
      </c>
      <c r="C866" t="s">
        <v>1987</v>
      </c>
      <c r="D866">
        <v>2</v>
      </c>
      <c r="E866" t="s">
        <v>1447</v>
      </c>
      <c r="F866" t="s">
        <v>1972</v>
      </c>
      <c r="G866" t="s">
        <v>1748</v>
      </c>
      <c r="H866" t="s">
        <v>2279</v>
      </c>
      <c r="I866">
        <v>1</v>
      </c>
      <c r="J866" t="s">
        <v>2279</v>
      </c>
      <c r="K866" t="s">
        <v>2279</v>
      </c>
      <c r="L866" t="s">
        <v>2279</v>
      </c>
      <c r="M866" t="s">
        <v>2279</v>
      </c>
      <c r="N866" t="s">
        <v>2279</v>
      </c>
      <c r="O866" s="190" t="str">
        <f>"["&amp;$C866&amp;"]["&amp;$D866&amp;"]["&amp;$F866&amp;"]"</f>
        <v>[S06_InstallationsVerificationReportsIssueDetail][2][NumberOfIssues]</v>
      </c>
    </row>
    <row r="867" spans="1:15" x14ac:dyDescent="0.3">
      <c r="A867" t="s">
        <v>2277</v>
      </c>
      <c r="B867" t="s">
        <v>1985</v>
      </c>
      <c r="C867" t="s">
        <v>1987</v>
      </c>
      <c r="D867">
        <v>3</v>
      </c>
      <c r="E867" t="s">
        <v>1447</v>
      </c>
      <c r="F867" t="s">
        <v>1972</v>
      </c>
      <c r="G867" t="s">
        <v>1748</v>
      </c>
      <c r="H867" t="s">
        <v>2279</v>
      </c>
      <c r="I867">
        <v>26</v>
      </c>
      <c r="J867" t="s">
        <v>2279</v>
      </c>
      <c r="K867" t="s">
        <v>2279</v>
      </c>
      <c r="L867" t="s">
        <v>2279</v>
      </c>
      <c r="M867" t="s">
        <v>2279</v>
      </c>
      <c r="N867" t="s">
        <v>2279</v>
      </c>
      <c r="O867" s="190" t="str">
        <f>"["&amp;$C867&amp;"]["&amp;$D867&amp;"]["&amp;$F867&amp;"]"</f>
        <v>[S06_InstallationsVerificationReportsIssueDetail][3][NumberOfIssues]</v>
      </c>
    </row>
    <row r="868" spans="1:15" x14ac:dyDescent="0.3">
      <c r="A868" t="s">
        <v>2277</v>
      </c>
      <c r="B868" t="s">
        <v>1985</v>
      </c>
      <c r="C868" t="s">
        <v>1987</v>
      </c>
      <c r="D868">
        <v>4</v>
      </c>
      <c r="E868" t="s">
        <v>1447</v>
      </c>
      <c r="F868" t="s">
        <v>1972</v>
      </c>
      <c r="G868" t="s">
        <v>1748</v>
      </c>
      <c r="H868" t="s">
        <v>2279</v>
      </c>
      <c r="I868">
        <v>2</v>
      </c>
      <c r="J868" t="s">
        <v>2279</v>
      </c>
      <c r="K868" t="s">
        <v>2279</v>
      </c>
      <c r="L868" t="s">
        <v>2279</v>
      </c>
      <c r="M868" t="s">
        <v>2279</v>
      </c>
      <c r="N868" t="s">
        <v>2279</v>
      </c>
      <c r="O868" s="190" t="str">
        <f>"["&amp;$C868&amp;"]["&amp;$D868&amp;"]["&amp;$F868&amp;"]"</f>
        <v>[S06_InstallationsVerificationReportsIssueDetail][4][NumberOfIssues]</v>
      </c>
    </row>
    <row r="869" spans="1:15" x14ac:dyDescent="0.3">
      <c r="A869" t="s">
        <v>2277</v>
      </c>
      <c r="B869" t="s">
        <v>1985</v>
      </c>
      <c r="C869" t="s">
        <v>1987</v>
      </c>
      <c r="D869">
        <v>5</v>
      </c>
      <c r="E869" t="s">
        <v>1447</v>
      </c>
      <c r="F869" t="s">
        <v>1972</v>
      </c>
      <c r="G869" t="s">
        <v>1748</v>
      </c>
      <c r="H869" t="s">
        <v>2279</v>
      </c>
      <c r="I869">
        <v>35</v>
      </c>
      <c r="J869" t="s">
        <v>2279</v>
      </c>
      <c r="K869" t="s">
        <v>2279</v>
      </c>
      <c r="L869" t="s">
        <v>2279</v>
      </c>
      <c r="M869" t="s">
        <v>2279</v>
      </c>
      <c r="N869" t="s">
        <v>2279</v>
      </c>
      <c r="O869" s="190" t="str">
        <f>"["&amp;$C869&amp;"]["&amp;$D869&amp;"]["&amp;$F869&amp;"]"</f>
        <v>[S06_InstallationsVerificationReportsIssueDetail][5][NumberOfIssues]</v>
      </c>
    </row>
    <row r="870" spans="1:15" x14ac:dyDescent="0.3">
      <c r="A870" t="s">
        <v>2277</v>
      </c>
      <c r="B870" t="s">
        <v>1985</v>
      </c>
      <c r="C870" t="s">
        <v>1987</v>
      </c>
      <c r="D870">
        <v>6</v>
      </c>
      <c r="E870" t="s">
        <v>1447</v>
      </c>
      <c r="F870" t="s">
        <v>1972</v>
      </c>
      <c r="G870" t="s">
        <v>1748</v>
      </c>
      <c r="H870" t="s">
        <v>2279</v>
      </c>
      <c r="I870">
        <v>1</v>
      </c>
      <c r="J870" t="s">
        <v>2279</v>
      </c>
      <c r="K870" t="s">
        <v>2279</v>
      </c>
      <c r="L870" t="s">
        <v>2279</v>
      </c>
      <c r="M870" t="s">
        <v>2279</v>
      </c>
      <c r="N870" t="s">
        <v>2279</v>
      </c>
      <c r="O870" s="190" t="str">
        <f>"["&amp;$C870&amp;"]["&amp;$D870&amp;"]["&amp;$F870&amp;"]"</f>
        <v>[S06_InstallationsVerificationReportsIssueDetail][6][NumberOfIssues]</v>
      </c>
    </row>
    <row r="871" spans="1:15" x14ac:dyDescent="0.3">
      <c r="A871" t="s">
        <v>2277</v>
      </c>
      <c r="B871" t="s">
        <v>1985</v>
      </c>
      <c r="C871" t="s">
        <v>1987</v>
      </c>
      <c r="D871">
        <v>7</v>
      </c>
      <c r="E871" t="s">
        <v>1447</v>
      </c>
      <c r="F871" t="s">
        <v>1972</v>
      </c>
      <c r="G871" t="s">
        <v>1748</v>
      </c>
      <c r="H871" t="s">
        <v>2279</v>
      </c>
      <c r="I871">
        <v>1</v>
      </c>
      <c r="J871" t="s">
        <v>2279</v>
      </c>
      <c r="K871" t="s">
        <v>2279</v>
      </c>
      <c r="L871" t="s">
        <v>2279</v>
      </c>
      <c r="M871" t="s">
        <v>2279</v>
      </c>
      <c r="N871" t="s">
        <v>2279</v>
      </c>
      <c r="O871" s="190" t="str">
        <f>"["&amp;$C871&amp;"]["&amp;$D871&amp;"]["&amp;$F871&amp;"]"</f>
        <v>[S06_InstallationsVerificationReportsIssueDetail][7][NumberOfIssues]</v>
      </c>
    </row>
    <row r="872" spans="1:15" x14ac:dyDescent="0.3">
      <c r="A872" t="s">
        <v>2277</v>
      </c>
      <c r="B872" t="s">
        <v>1985</v>
      </c>
      <c r="C872" t="s">
        <v>1987</v>
      </c>
      <c r="D872">
        <v>8</v>
      </c>
      <c r="E872" t="s">
        <v>1447</v>
      </c>
      <c r="F872" t="s">
        <v>1972</v>
      </c>
      <c r="G872" t="s">
        <v>1748</v>
      </c>
      <c r="H872" t="s">
        <v>2279</v>
      </c>
      <c r="I872">
        <v>52</v>
      </c>
      <c r="J872" t="s">
        <v>2279</v>
      </c>
      <c r="K872" t="s">
        <v>2279</v>
      </c>
      <c r="L872" t="s">
        <v>2279</v>
      </c>
      <c r="M872" t="s">
        <v>2279</v>
      </c>
      <c r="N872" t="s">
        <v>2279</v>
      </c>
      <c r="O872" s="190" t="str">
        <f>"["&amp;$C872&amp;"]["&amp;$D872&amp;"]["&amp;$F872&amp;"]"</f>
        <v>[S06_InstallationsVerificationReportsIssueDetail][8][NumberOfIssues]</v>
      </c>
    </row>
    <row r="873" spans="1:15" x14ac:dyDescent="0.3">
      <c r="A873" t="s">
        <v>2277</v>
      </c>
      <c r="B873" t="s">
        <v>1985</v>
      </c>
      <c r="C873" t="s">
        <v>1987</v>
      </c>
      <c r="D873">
        <v>9</v>
      </c>
      <c r="E873" t="s">
        <v>1447</v>
      </c>
      <c r="F873" t="s">
        <v>1972</v>
      </c>
      <c r="G873" t="s">
        <v>1748</v>
      </c>
      <c r="H873" t="s">
        <v>2279</v>
      </c>
      <c r="I873">
        <v>1</v>
      </c>
      <c r="J873" t="s">
        <v>2279</v>
      </c>
      <c r="K873" t="s">
        <v>2279</v>
      </c>
      <c r="L873" t="s">
        <v>2279</v>
      </c>
      <c r="M873" t="s">
        <v>2279</v>
      </c>
      <c r="N873" t="s">
        <v>2279</v>
      </c>
      <c r="O873" s="190" t="str">
        <f>"["&amp;$C873&amp;"]["&amp;$D873&amp;"]["&amp;$F873&amp;"]"</f>
        <v>[S06_InstallationsVerificationReportsIssueDetail][9][NumberOfIssues]</v>
      </c>
    </row>
    <row r="874" spans="1:15" x14ac:dyDescent="0.3">
      <c r="A874" t="s">
        <v>2277</v>
      </c>
      <c r="B874" t="s">
        <v>1985</v>
      </c>
      <c r="C874" t="s">
        <v>1987</v>
      </c>
      <c r="D874">
        <v>10</v>
      </c>
      <c r="E874" t="s">
        <v>1447</v>
      </c>
      <c r="F874" t="s">
        <v>1972</v>
      </c>
      <c r="G874" t="s">
        <v>1748</v>
      </c>
      <c r="H874" t="s">
        <v>2279</v>
      </c>
      <c r="I874">
        <v>2</v>
      </c>
      <c r="J874" t="s">
        <v>2279</v>
      </c>
      <c r="K874" t="s">
        <v>2279</v>
      </c>
      <c r="L874" t="s">
        <v>2279</v>
      </c>
      <c r="M874" t="s">
        <v>2279</v>
      </c>
      <c r="N874" t="s">
        <v>2279</v>
      </c>
      <c r="O874" s="190" t="str">
        <f>"["&amp;$C874&amp;"]["&amp;$D874&amp;"]["&amp;$F874&amp;"]"</f>
        <v>[S06_InstallationsVerificationReportsIssueDetail][10][NumberOfIssues]</v>
      </c>
    </row>
    <row r="875" spans="1:15" x14ac:dyDescent="0.3">
      <c r="A875" t="s">
        <v>2277</v>
      </c>
      <c r="B875" t="s">
        <v>1985</v>
      </c>
      <c r="C875" t="s">
        <v>1987</v>
      </c>
      <c r="D875">
        <v>11</v>
      </c>
      <c r="E875" t="s">
        <v>1447</v>
      </c>
      <c r="F875" t="s">
        <v>1972</v>
      </c>
      <c r="G875" t="s">
        <v>1748</v>
      </c>
      <c r="H875" t="s">
        <v>2279</v>
      </c>
      <c r="I875">
        <v>1</v>
      </c>
      <c r="J875" t="s">
        <v>2279</v>
      </c>
      <c r="K875" t="s">
        <v>2279</v>
      </c>
      <c r="L875" t="s">
        <v>2279</v>
      </c>
      <c r="M875" t="s">
        <v>2279</v>
      </c>
      <c r="N875" t="s">
        <v>2279</v>
      </c>
      <c r="O875" s="190" t="str">
        <f>"["&amp;$C875&amp;"]["&amp;$D875&amp;"]["&amp;$F875&amp;"]"</f>
        <v>[S06_InstallationsVerificationReportsIssueDetail][11][NumberOfIssues]</v>
      </c>
    </row>
    <row r="876" spans="1:15" x14ac:dyDescent="0.3">
      <c r="A876" t="s">
        <v>2277</v>
      </c>
      <c r="B876" t="s">
        <v>1985</v>
      </c>
      <c r="C876" t="s">
        <v>1987</v>
      </c>
      <c r="D876">
        <v>1</v>
      </c>
      <c r="E876" t="s">
        <v>1447</v>
      </c>
      <c r="F876" t="s">
        <v>1990</v>
      </c>
      <c r="G876" t="s">
        <v>1806</v>
      </c>
      <c r="H876" t="s">
        <v>2279</v>
      </c>
      <c r="I876" t="s">
        <v>2279</v>
      </c>
      <c r="J876">
        <v>0</v>
      </c>
      <c r="K876" t="s">
        <v>2279</v>
      </c>
      <c r="L876" t="s">
        <v>2279</v>
      </c>
      <c r="M876" t="s">
        <v>2279</v>
      </c>
      <c r="N876" t="s">
        <v>2279</v>
      </c>
      <c r="O876" s="190" t="str">
        <f>"["&amp;$C876&amp;"]["&amp;$D876&amp;"]["&amp;$F876&amp;"]"</f>
        <v>[S06_InstallationsVerificationReportsIssueDetail][1][ShareOfReportsConservativeEstimate]</v>
      </c>
    </row>
    <row r="877" spans="1:15" x14ac:dyDescent="0.3">
      <c r="A877" t="s">
        <v>2277</v>
      </c>
      <c r="B877" t="s">
        <v>1985</v>
      </c>
      <c r="C877" t="s">
        <v>1987</v>
      </c>
      <c r="D877">
        <v>2</v>
      </c>
      <c r="E877" t="s">
        <v>1447</v>
      </c>
      <c r="F877" t="s">
        <v>1990</v>
      </c>
      <c r="G877" t="s">
        <v>1806</v>
      </c>
      <c r="H877" t="s">
        <v>2279</v>
      </c>
      <c r="I877" t="s">
        <v>2279</v>
      </c>
      <c r="J877">
        <v>0</v>
      </c>
      <c r="K877" t="s">
        <v>2279</v>
      </c>
      <c r="L877" t="s">
        <v>2279</v>
      </c>
      <c r="M877" t="s">
        <v>2279</v>
      </c>
      <c r="N877" t="s">
        <v>2279</v>
      </c>
      <c r="O877" s="190" t="str">
        <f>"["&amp;$C877&amp;"]["&amp;$D877&amp;"]["&amp;$F877&amp;"]"</f>
        <v>[S06_InstallationsVerificationReportsIssueDetail][2][ShareOfReportsConservativeEstimate]</v>
      </c>
    </row>
    <row r="878" spans="1:15" x14ac:dyDescent="0.3">
      <c r="A878" t="s">
        <v>2277</v>
      </c>
      <c r="B878" t="s">
        <v>1985</v>
      </c>
      <c r="C878" t="s">
        <v>1987</v>
      </c>
      <c r="D878">
        <v>3</v>
      </c>
      <c r="E878" t="s">
        <v>1447</v>
      </c>
      <c r="F878" t="s">
        <v>1990</v>
      </c>
      <c r="G878" t="s">
        <v>1806</v>
      </c>
      <c r="H878" t="s">
        <v>2279</v>
      </c>
      <c r="I878" t="s">
        <v>2279</v>
      </c>
      <c r="J878">
        <v>0</v>
      </c>
      <c r="K878" t="s">
        <v>2279</v>
      </c>
      <c r="L878" t="s">
        <v>2279</v>
      </c>
      <c r="M878" t="s">
        <v>2279</v>
      </c>
      <c r="N878" t="s">
        <v>2279</v>
      </c>
      <c r="O878" s="190" t="str">
        <f>"["&amp;$C878&amp;"]["&amp;$D878&amp;"]["&amp;$F878&amp;"]"</f>
        <v>[S06_InstallationsVerificationReportsIssueDetail][3][ShareOfReportsConservativeEstimate]</v>
      </c>
    </row>
    <row r="879" spans="1:15" x14ac:dyDescent="0.3">
      <c r="A879" t="s">
        <v>2277</v>
      </c>
      <c r="B879" t="s">
        <v>1985</v>
      </c>
      <c r="C879" t="s">
        <v>1987</v>
      </c>
      <c r="D879">
        <v>4</v>
      </c>
      <c r="E879" t="s">
        <v>1447</v>
      </c>
      <c r="F879" t="s">
        <v>1990</v>
      </c>
      <c r="G879" t="s">
        <v>1806</v>
      </c>
      <c r="H879" t="s">
        <v>2279</v>
      </c>
      <c r="I879" t="s">
        <v>2279</v>
      </c>
      <c r="J879">
        <v>0</v>
      </c>
      <c r="K879" t="s">
        <v>2279</v>
      </c>
      <c r="L879" t="s">
        <v>2279</v>
      </c>
      <c r="M879" t="s">
        <v>2279</v>
      </c>
      <c r="N879" t="s">
        <v>2279</v>
      </c>
      <c r="O879" s="190" t="str">
        <f>"["&amp;$C879&amp;"]["&amp;$D879&amp;"]["&amp;$F879&amp;"]"</f>
        <v>[S06_InstallationsVerificationReportsIssueDetail][4][ShareOfReportsConservativeEstimate]</v>
      </c>
    </row>
    <row r="880" spans="1:15" x14ac:dyDescent="0.3">
      <c r="A880" t="s">
        <v>2277</v>
      </c>
      <c r="B880" t="s">
        <v>1985</v>
      </c>
      <c r="C880" t="s">
        <v>1987</v>
      </c>
      <c r="D880">
        <v>5</v>
      </c>
      <c r="E880" t="s">
        <v>1447</v>
      </c>
      <c r="F880" t="s">
        <v>1990</v>
      </c>
      <c r="G880" t="s">
        <v>1806</v>
      </c>
      <c r="H880" t="s">
        <v>2279</v>
      </c>
      <c r="I880" t="s">
        <v>2279</v>
      </c>
      <c r="J880">
        <v>0</v>
      </c>
      <c r="K880" t="s">
        <v>2279</v>
      </c>
      <c r="L880" t="s">
        <v>2279</v>
      </c>
      <c r="M880" t="s">
        <v>2279</v>
      </c>
      <c r="N880" t="s">
        <v>2279</v>
      </c>
      <c r="O880" s="190" t="str">
        <f>"["&amp;$C880&amp;"]["&amp;$D880&amp;"]["&amp;$F880&amp;"]"</f>
        <v>[S06_InstallationsVerificationReportsIssueDetail][5][ShareOfReportsConservativeEstimate]</v>
      </c>
    </row>
    <row r="881" spans="1:15" x14ac:dyDescent="0.3">
      <c r="A881" t="s">
        <v>2277</v>
      </c>
      <c r="B881" t="s">
        <v>1985</v>
      </c>
      <c r="C881" t="s">
        <v>1987</v>
      </c>
      <c r="D881">
        <v>6</v>
      </c>
      <c r="E881" t="s">
        <v>1447</v>
      </c>
      <c r="F881" t="s">
        <v>1990</v>
      </c>
      <c r="G881" t="s">
        <v>1806</v>
      </c>
      <c r="H881" t="s">
        <v>2279</v>
      </c>
      <c r="I881" t="s">
        <v>2279</v>
      </c>
      <c r="J881">
        <v>0</v>
      </c>
      <c r="K881" t="s">
        <v>2279</v>
      </c>
      <c r="L881" t="s">
        <v>2279</v>
      </c>
      <c r="M881" t="s">
        <v>2279</v>
      </c>
      <c r="N881" t="s">
        <v>2279</v>
      </c>
      <c r="O881" s="190" t="str">
        <f>"["&amp;$C881&amp;"]["&amp;$D881&amp;"]["&amp;$F881&amp;"]"</f>
        <v>[S06_InstallationsVerificationReportsIssueDetail][6][ShareOfReportsConservativeEstimate]</v>
      </c>
    </row>
    <row r="882" spans="1:15" x14ac:dyDescent="0.3">
      <c r="A882" t="s">
        <v>2277</v>
      </c>
      <c r="B882" t="s">
        <v>1985</v>
      </c>
      <c r="C882" t="s">
        <v>1987</v>
      </c>
      <c r="D882">
        <v>7</v>
      </c>
      <c r="E882" t="s">
        <v>1447</v>
      </c>
      <c r="F882" t="s">
        <v>1990</v>
      </c>
      <c r="G882" t="s">
        <v>1806</v>
      </c>
      <c r="H882" t="s">
        <v>2279</v>
      </c>
      <c r="I882" t="s">
        <v>2279</v>
      </c>
      <c r="J882">
        <v>0</v>
      </c>
      <c r="K882" t="s">
        <v>2279</v>
      </c>
      <c r="L882" t="s">
        <v>2279</v>
      </c>
      <c r="M882" t="s">
        <v>2279</v>
      </c>
      <c r="N882" t="s">
        <v>2279</v>
      </c>
      <c r="O882" s="190" t="str">
        <f>"["&amp;$C882&amp;"]["&amp;$D882&amp;"]["&amp;$F882&amp;"]"</f>
        <v>[S06_InstallationsVerificationReportsIssueDetail][7][ShareOfReportsConservativeEstimate]</v>
      </c>
    </row>
    <row r="883" spans="1:15" x14ac:dyDescent="0.3">
      <c r="A883" t="s">
        <v>2277</v>
      </c>
      <c r="B883" t="s">
        <v>1985</v>
      </c>
      <c r="C883" t="s">
        <v>1987</v>
      </c>
      <c r="D883">
        <v>8</v>
      </c>
      <c r="E883" t="s">
        <v>1447</v>
      </c>
      <c r="F883" t="s">
        <v>1990</v>
      </c>
      <c r="G883" t="s">
        <v>1806</v>
      </c>
      <c r="H883" t="s">
        <v>2279</v>
      </c>
      <c r="I883" t="s">
        <v>2279</v>
      </c>
      <c r="J883">
        <v>0</v>
      </c>
      <c r="K883" t="s">
        <v>2279</v>
      </c>
      <c r="L883" t="s">
        <v>2279</v>
      </c>
      <c r="M883" t="s">
        <v>2279</v>
      </c>
      <c r="N883" t="s">
        <v>2279</v>
      </c>
      <c r="O883" s="190" t="str">
        <f>"["&amp;$C883&amp;"]["&amp;$D883&amp;"]["&amp;$F883&amp;"]"</f>
        <v>[S06_InstallationsVerificationReportsIssueDetail][8][ShareOfReportsConservativeEstimate]</v>
      </c>
    </row>
    <row r="884" spans="1:15" x14ac:dyDescent="0.3">
      <c r="A884" t="s">
        <v>2277</v>
      </c>
      <c r="B884" t="s">
        <v>1985</v>
      </c>
      <c r="C884" t="s">
        <v>1987</v>
      </c>
      <c r="D884">
        <v>9</v>
      </c>
      <c r="E884" t="s">
        <v>1447</v>
      </c>
      <c r="F884" t="s">
        <v>1990</v>
      </c>
      <c r="G884" t="s">
        <v>1806</v>
      </c>
      <c r="H884" t="s">
        <v>2279</v>
      </c>
      <c r="I884" t="s">
        <v>2279</v>
      </c>
      <c r="J884">
        <v>0</v>
      </c>
      <c r="K884" t="s">
        <v>2279</v>
      </c>
      <c r="L884" t="s">
        <v>2279</v>
      </c>
      <c r="M884" t="s">
        <v>2279</v>
      </c>
      <c r="N884" t="s">
        <v>2279</v>
      </c>
      <c r="O884" s="190" t="str">
        <f>"["&amp;$C884&amp;"]["&amp;$D884&amp;"]["&amp;$F884&amp;"]"</f>
        <v>[S06_InstallationsVerificationReportsIssueDetail][9][ShareOfReportsConservativeEstimate]</v>
      </c>
    </row>
    <row r="885" spans="1:15" x14ac:dyDescent="0.3">
      <c r="A885" t="s">
        <v>2277</v>
      </c>
      <c r="B885" t="s">
        <v>1985</v>
      </c>
      <c r="C885" t="s">
        <v>1987</v>
      </c>
      <c r="D885">
        <v>10</v>
      </c>
      <c r="E885" t="s">
        <v>1447</v>
      </c>
      <c r="F885" t="s">
        <v>1990</v>
      </c>
      <c r="G885" t="s">
        <v>1806</v>
      </c>
      <c r="H885" t="s">
        <v>2279</v>
      </c>
      <c r="I885" t="s">
        <v>2279</v>
      </c>
      <c r="J885">
        <v>0</v>
      </c>
      <c r="K885" t="s">
        <v>2279</v>
      </c>
      <c r="L885" t="s">
        <v>2279</v>
      </c>
      <c r="M885" t="s">
        <v>2279</v>
      </c>
      <c r="N885" t="s">
        <v>2279</v>
      </c>
      <c r="O885" s="190" t="str">
        <f>"["&amp;$C885&amp;"]["&amp;$D885&amp;"]["&amp;$F885&amp;"]"</f>
        <v>[S06_InstallationsVerificationReportsIssueDetail][10][ShareOfReportsConservativeEstimate]</v>
      </c>
    </row>
    <row r="886" spans="1:15" x14ac:dyDescent="0.3">
      <c r="A886" t="s">
        <v>2277</v>
      </c>
      <c r="B886" t="s">
        <v>1985</v>
      </c>
      <c r="C886" t="s">
        <v>1987</v>
      </c>
      <c r="D886">
        <v>11</v>
      </c>
      <c r="E886" t="s">
        <v>1447</v>
      </c>
      <c r="F886" t="s">
        <v>1990</v>
      </c>
      <c r="G886" t="s">
        <v>1806</v>
      </c>
      <c r="H886" t="s">
        <v>2279</v>
      </c>
      <c r="I886" t="s">
        <v>2279</v>
      </c>
      <c r="J886">
        <v>0</v>
      </c>
      <c r="K886" t="s">
        <v>2279</v>
      </c>
      <c r="L886" t="s">
        <v>2279</v>
      </c>
      <c r="M886" t="s">
        <v>2279</v>
      </c>
      <c r="N886" t="s">
        <v>2279</v>
      </c>
      <c r="O886" s="190" t="str">
        <f>"["&amp;$C886&amp;"]["&amp;$D886&amp;"]["&amp;$F886&amp;"]"</f>
        <v>[S06_InstallationsVerificationReportsIssueDetail][11][ShareOfReportsConservativeEstimate]</v>
      </c>
    </row>
    <row r="887" spans="1:15" x14ac:dyDescent="0.3">
      <c r="A887" t="s">
        <v>2277</v>
      </c>
      <c r="B887" t="s">
        <v>1991</v>
      </c>
      <c r="C887" t="s">
        <v>1992</v>
      </c>
      <c r="D887">
        <v>0</v>
      </c>
      <c r="E887" t="s">
        <v>1447</v>
      </c>
      <c r="F887" t="s">
        <v>1992</v>
      </c>
      <c r="G887" t="s">
        <v>1759</v>
      </c>
      <c r="H887" t="s">
        <v>2279</v>
      </c>
      <c r="I887" t="s">
        <v>2279</v>
      </c>
      <c r="J887" t="s">
        <v>2279</v>
      </c>
      <c r="K887" t="s">
        <v>2279</v>
      </c>
      <c r="L887" t="s">
        <v>1419</v>
      </c>
      <c r="M887" t="s">
        <v>2279</v>
      </c>
      <c r="N887" t="s">
        <v>2279</v>
      </c>
      <c r="O887" s="190" t="str">
        <f>"["&amp;$C887&amp;"]["&amp;$D887&amp;"]["&amp;$F887&amp;"]"</f>
        <v>[InstallationsVerificationReportChecks][0][InstallationsVerificationReportChecks]</v>
      </c>
    </row>
    <row r="888" spans="1:15" x14ac:dyDescent="0.3">
      <c r="A888" t="s">
        <v>2277</v>
      </c>
      <c r="B888" t="s">
        <v>1991</v>
      </c>
      <c r="C888" t="s">
        <v>1993</v>
      </c>
      <c r="D888">
        <v>1</v>
      </c>
      <c r="E888" t="s">
        <v>1447</v>
      </c>
      <c r="F888" t="s">
        <v>1994</v>
      </c>
      <c r="G888" t="s">
        <v>1806</v>
      </c>
      <c r="H888" t="s">
        <v>2279</v>
      </c>
      <c r="I888" t="s">
        <v>2279</v>
      </c>
      <c r="J888">
        <v>1</v>
      </c>
      <c r="K888" t="s">
        <v>2279</v>
      </c>
      <c r="L888" t="s">
        <v>2279</v>
      </c>
      <c r="M888" t="s">
        <v>2279</v>
      </c>
      <c r="N888" t="s">
        <v>2279</v>
      </c>
      <c r="O888" s="190" t="str">
        <f>"["&amp;$C888&amp;"]["&amp;$D888&amp;"]["&amp;$F888&amp;"]"</f>
        <v>[S06_InstallationsVerificationReportChecksDetail1][1][PercentageShare]</v>
      </c>
    </row>
    <row r="889" spans="1:15" x14ac:dyDescent="0.3">
      <c r="A889" t="s">
        <v>2277</v>
      </c>
      <c r="B889" t="s">
        <v>1991</v>
      </c>
      <c r="C889" t="s">
        <v>1993</v>
      </c>
      <c r="D889">
        <v>2</v>
      </c>
      <c r="E889" t="s">
        <v>1447</v>
      </c>
      <c r="F889" t="s">
        <v>1994</v>
      </c>
      <c r="G889" t="s">
        <v>1806</v>
      </c>
      <c r="H889" t="s">
        <v>2279</v>
      </c>
      <c r="I889" t="s">
        <v>2279</v>
      </c>
      <c r="J889">
        <v>1</v>
      </c>
      <c r="K889" t="s">
        <v>2279</v>
      </c>
      <c r="L889" t="s">
        <v>2279</v>
      </c>
      <c r="M889" t="s">
        <v>2279</v>
      </c>
      <c r="N889" t="s">
        <v>2279</v>
      </c>
      <c r="O889" s="190" t="str">
        <f>"["&amp;$C889&amp;"]["&amp;$D889&amp;"]["&amp;$F889&amp;"]"</f>
        <v>[S06_InstallationsVerificationReportChecksDetail1][2][PercentageShare]</v>
      </c>
    </row>
    <row r="890" spans="1:15" x14ac:dyDescent="0.3">
      <c r="A890" t="s">
        <v>2277</v>
      </c>
      <c r="B890" t="s">
        <v>1991</v>
      </c>
      <c r="C890" t="s">
        <v>1993</v>
      </c>
      <c r="D890">
        <v>3</v>
      </c>
      <c r="E890" t="s">
        <v>1447</v>
      </c>
      <c r="F890" t="s">
        <v>1994</v>
      </c>
      <c r="G890" t="s">
        <v>1806</v>
      </c>
      <c r="H890" t="s">
        <v>2279</v>
      </c>
      <c r="I890" t="s">
        <v>2279</v>
      </c>
      <c r="J890">
        <v>1</v>
      </c>
      <c r="K890" t="s">
        <v>2279</v>
      </c>
      <c r="L890" t="s">
        <v>2279</v>
      </c>
      <c r="M890" t="s">
        <v>2279</v>
      </c>
      <c r="N890" t="s">
        <v>2279</v>
      </c>
      <c r="O890" s="190" t="str">
        <f>"["&amp;$C890&amp;"]["&amp;$D890&amp;"]["&amp;$F890&amp;"]"</f>
        <v>[S06_InstallationsVerificationReportChecksDetail1][3][PercentageShare]</v>
      </c>
    </row>
    <row r="891" spans="1:15" x14ac:dyDescent="0.3">
      <c r="A891" t="s">
        <v>2277</v>
      </c>
      <c r="B891" t="s">
        <v>1991</v>
      </c>
      <c r="C891" t="s">
        <v>1993</v>
      </c>
      <c r="D891">
        <v>4</v>
      </c>
      <c r="E891" t="s">
        <v>1447</v>
      </c>
      <c r="F891" t="s">
        <v>1994</v>
      </c>
      <c r="G891" t="s">
        <v>1806</v>
      </c>
      <c r="H891" t="s">
        <v>2279</v>
      </c>
      <c r="I891" t="s">
        <v>2279</v>
      </c>
      <c r="J891">
        <v>0.793548387096774</v>
      </c>
      <c r="K891" t="s">
        <v>2279</v>
      </c>
      <c r="L891" t="s">
        <v>2279</v>
      </c>
      <c r="M891" t="s">
        <v>2279</v>
      </c>
      <c r="N891" t="s">
        <v>2279</v>
      </c>
      <c r="O891" s="190" t="str">
        <f>"["&amp;$C891&amp;"]["&amp;$D891&amp;"]["&amp;$F891&amp;"]"</f>
        <v>[S06_InstallationsVerificationReportChecksDetail1][4][PercentageShare]</v>
      </c>
    </row>
    <row r="892" spans="1:15" x14ac:dyDescent="0.3">
      <c r="A892" t="s">
        <v>2277</v>
      </c>
      <c r="B892" t="s">
        <v>1991</v>
      </c>
      <c r="C892" t="s">
        <v>1993</v>
      </c>
      <c r="D892">
        <v>5</v>
      </c>
      <c r="E892" t="s">
        <v>1447</v>
      </c>
      <c r="F892" t="s">
        <v>1994</v>
      </c>
      <c r="G892" t="s">
        <v>1806</v>
      </c>
      <c r="H892" t="s">
        <v>2279</v>
      </c>
      <c r="I892" t="s">
        <v>2279</v>
      </c>
      <c r="J892">
        <v>0.53870967741935505</v>
      </c>
      <c r="K892" t="s">
        <v>2279</v>
      </c>
      <c r="L892" t="s">
        <v>2279</v>
      </c>
      <c r="M892" t="s">
        <v>2279</v>
      </c>
      <c r="N892" t="s">
        <v>2279</v>
      </c>
      <c r="O892" s="190" t="str">
        <f>"["&amp;$C892&amp;"]["&amp;$D892&amp;"]["&amp;$F892&amp;"]"</f>
        <v>[S06_InstallationsVerificationReportChecksDetail1][5][PercentageShare]</v>
      </c>
    </row>
    <row r="893" spans="1:15" x14ac:dyDescent="0.3">
      <c r="A893" t="s">
        <v>2277</v>
      </c>
      <c r="B893" t="s">
        <v>1991</v>
      </c>
      <c r="C893" t="s">
        <v>1993</v>
      </c>
      <c r="D893">
        <v>4</v>
      </c>
      <c r="E893" t="s">
        <v>1447</v>
      </c>
      <c r="F893" t="s">
        <v>1995</v>
      </c>
      <c r="G893" t="s">
        <v>1791</v>
      </c>
      <c r="H893" t="s">
        <v>2279</v>
      </c>
      <c r="I893" t="s">
        <v>2279</v>
      </c>
      <c r="J893" t="s">
        <v>2279</v>
      </c>
      <c r="K893" t="s">
        <v>2375</v>
      </c>
      <c r="L893" t="s">
        <v>2279</v>
      </c>
      <c r="M893" t="s">
        <v>2279</v>
      </c>
      <c r="N893" t="s">
        <v>2279</v>
      </c>
      <c r="O893" s="190" t="str">
        <f>"["&amp;$C893&amp;"]["&amp;$D893&amp;"]["&amp;$F893&amp;"]"</f>
        <v>[S06_InstallationsVerificationReportChecksDetail1][4][FurtherInformation]</v>
      </c>
    </row>
    <row r="894" spans="1:15" x14ac:dyDescent="0.3">
      <c r="A894" t="s">
        <v>2277</v>
      </c>
      <c r="B894" t="s">
        <v>1991</v>
      </c>
      <c r="C894" t="s">
        <v>1993</v>
      </c>
      <c r="D894">
        <v>5</v>
      </c>
      <c r="E894" t="s">
        <v>1447</v>
      </c>
      <c r="F894" t="s">
        <v>1995</v>
      </c>
      <c r="G894" t="s">
        <v>1791</v>
      </c>
      <c r="H894" t="s">
        <v>2279</v>
      </c>
      <c r="I894" t="s">
        <v>2279</v>
      </c>
      <c r="J894" t="s">
        <v>2279</v>
      </c>
      <c r="K894" t="s">
        <v>2376</v>
      </c>
      <c r="L894" t="s">
        <v>2279</v>
      </c>
      <c r="M894" t="s">
        <v>2279</v>
      </c>
      <c r="N894" t="s">
        <v>2279</v>
      </c>
      <c r="O894" s="190" t="str">
        <f>"["&amp;$C894&amp;"]["&amp;$D894&amp;"]["&amp;$F894&amp;"]"</f>
        <v>[S06_InstallationsVerificationReportChecksDetail1][5][FurtherInformation]</v>
      </c>
    </row>
    <row r="895" spans="1:15" x14ac:dyDescent="0.3">
      <c r="A895" t="s">
        <v>2277</v>
      </c>
      <c r="B895" t="s">
        <v>1991</v>
      </c>
      <c r="C895" t="s">
        <v>1993</v>
      </c>
      <c r="D895">
        <v>5</v>
      </c>
      <c r="E895" t="s">
        <v>1447</v>
      </c>
      <c r="F895" t="s">
        <v>1996</v>
      </c>
      <c r="G895" t="s">
        <v>1737</v>
      </c>
      <c r="H895" t="s">
        <v>2279</v>
      </c>
      <c r="I895" t="s">
        <v>2279</v>
      </c>
      <c r="J895" t="s">
        <v>2279</v>
      </c>
      <c r="K895" t="s">
        <v>2279</v>
      </c>
      <c r="L895" t="s">
        <v>1234</v>
      </c>
      <c r="M895" t="s">
        <v>2279</v>
      </c>
      <c r="N895" t="s">
        <v>2279</v>
      </c>
      <c r="O895" s="190" t="str">
        <f>"["&amp;$C895&amp;"]["&amp;$D895&amp;"]["&amp;$F895&amp;"]"</f>
        <v>[S06_InstallationsVerificationReportChecksDetail1][5][SelectingCriteria]</v>
      </c>
    </row>
    <row r="896" spans="1:15" x14ac:dyDescent="0.3">
      <c r="A896" t="s">
        <v>2277</v>
      </c>
      <c r="B896" t="s">
        <v>1991</v>
      </c>
      <c r="C896" t="s">
        <v>1997</v>
      </c>
      <c r="D896">
        <v>1</v>
      </c>
      <c r="E896" t="s">
        <v>1447</v>
      </c>
      <c r="F896" t="s">
        <v>1998</v>
      </c>
      <c r="G896" t="s">
        <v>1748</v>
      </c>
      <c r="H896" t="s">
        <v>2279</v>
      </c>
      <c r="I896">
        <v>0</v>
      </c>
      <c r="J896" t="s">
        <v>2279</v>
      </c>
      <c r="K896" t="s">
        <v>2279</v>
      </c>
      <c r="L896" t="s">
        <v>2279</v>
      </c>
      <c r="M896" t="s">
        <v>2279</v>
      </c>
      <c r="N896" t="s">
        <v>2279</v>
      </c>
      <c r="O896" s="190" t="str">
        <f>"["&amp;$C896&amp;"]["&amp;$D896&amp;"]["&amp;$F896&amp;"]"</f>
        <v>[S06_InstallationsVerificationReportChecksDetail2][1][NumberOfReports]</v>
      </c>
    </row>
    <row r="897" spans="1:15" x14ac:dyDescent="0.3">
      <c r="A897" t="s">
        <v>2277</v>
      </c>
      <c r="B897" t="s">
        <v>1991</v>
      </c>
      <c r="C897" t="s">
        <v>1997</v>
      </c>
      <c r="D897">
        <v>2</v>
      </c>
      <c r="E897" t="s">
        <v>1447</v>
      </c>
      <c r="F897" t="s">
        <v>1998</v>
      </c>
      <c r="G897" t="s">
        <v>1748</v>
      </c>
      <c r="H897" t="s">
        <v>2279</v>
      </c>
      <c r="I897">
        <v>0</v>
      </c>
      <c r="J897" t="s">
        <v>2279</v>
      </c>
      <c r="K897" t="s">
        <v>2279</v>
      </c>
      <c r="L897" t="s">
        <v>2279</v>
      </c>
      <c r="M897" t="s">
        <v>2279</v>
      </c>
      <c r="N897" t="s">
        <v>2279</v>
      </c>
      <c r="O897" s="190" t="str">
        <f>"["&amp;$C897&amp;"]["&amp;$D897&amp;"]["&amp;$F897&amp;"]"</f>
        <v>[S06_InstallationsVerificationReportChecksDetail2][2][NumberOfReports]</v>
      </c>
    </row>
    <row r="898" spans="1:15" x14ac:dyDescent="0.3">
      <c r="A898" t="s">
        <v>2277</v>
      </c>
      <c r="B898" t="s">
        <v>1991</v>
      </c>
      <c r="C898" t="s">
        <v>1997</v>
      </c>
      <c r="D898">
        <v>2</v>
      </c>
      <c r="E898" t="s">
        <v>1447</v>
      </c>
      <c r="F898" t="s">
        <v>1995</v>
      </c>
      <c r="G898" t="s">
        <v>1791</v>
      </c>
      <c r="H898" t="s">
        <v>2279</v>
      </c>
      <c r="I898" t="s">
        <v>2279</v>
      </c>
      <c r="J898" t="s">
        <v>2279</v>
      </c>
      <c r="K898" t="s">
        <v>2377</v>
      </c>
      <c r="L898" t="s">
        <v>2279</v>
      </c>
      <c r="M898" t="s">
        <v>2279</v>
      </c>
      <c r="N898" t="s">
        <v>2279</v>
      </c>
      <c r="O898" s="190" t="str">
        <f>"["&amp;$C898&amp;"]["&amp;$D898&amp;"]["&amp;$F898&amp;"]"</f>
        <v>[S06_InstallationsVerificationReportChecksDetail2][2][FurtherInformation]</v>
      </c>
    </row>
    <row r="899" spans="1:15" x14ac:dyDescent="0.3">
      <c r="A899" t="s">
        <v>2277</v>
      </c>
      <c r="B899" t="s">
        <v>1991</v>
      </c>
      <c r="C899" t="s">
        <v>1999</v>
      </c>
      <c r="D899">
        <v>1</v>
      </c>
      <c r="E899" t="s">
        <v>1447</v>
      </c>
      <c r="F899" t="s">
        <v>2000</v>
      </c>
      <c r="G899" t="s">
        <v>1741</v>
      </c>
      <c r="H899" t="s">
        <v>2377</v>
      </c>
      <c r="I899" t="s">
        <v>2279</v>
      </c>
      <c r="J899" t="s">
        <v>2279</v>
      </c>
      <c r="K899" t="s">
        <v>2279</v>
      </c>
      <c r="L899" t="s">
        <v>2279</v>
      </c>
      <c r="M899" t="s">
        <v>2279</v>
      </c>
      <c r="N899" t="s">
        <v>2279</v>
      </c>
      <c r="O899" s="190" t="str">
        <f>"["&amp;$C899&amp;"]["&amp;$D899&amp;"]["&amp;$F899&amp;"]"</f>
        <v>[S06_InstallationsVerificationReportChecksDetail3][1][ActionsTaken]</v>
      </c>
    </row>
    <row r="900" spans="1:15" x14ac:dyDescent="0.3">
      <c r="A900" t="s">
        <v>2277</v>
      </c>
      <c r="B900" t="s">
        <v>1991</v>
      </c>
      <c r="C900" t="s">
        <v>1999</v>
      </c>
      <c r="D900">
        <v>2</v>
      </c>
      <c r="E900" t="s">
        <v>1419</v>
      </c>
      <c r="F900" t="s">
        <v>2000</v>
      </c>
      <c r="G900" t="s">
        <v>1791</v>
      </c>
      <c r="H900" t="s">
        <v>2279</v>
      </c>
      <c r="I900" t="s">
        <v>2279</v>
      </c>
      <c r="J900" t="s">
        <v>2279</v>
      </c>
      <c r="K900" t="s">
        <v>2378</v>
      </c>
      <c r="L900" t="s">
        <v>2279</v>
      </c>
      <c r="M900" t="s">
        <v>2279</v>
      </c>
      <c r="N900" t="s">
        <v>2279</v>
      </c>
      <c r="O900" s="190" t="str">
        <f>"["&amp;$C900&amp;"]["&amp;$D900&amp;"]["&amp;$F900&amp;"]"</f>
        <v>[S06_InstallationsVerificationReportChecksDetail3][2][ActionsTaken]</v>
      </c>
    </row>
    <row r="901" spans="1:15" x14ac:dyDescent="0.3">
      <c r="A901" t="s">
        <v>2277</v>
      </c>
      <c r="B901" t="s">
        <v>2001</v>
      </c>
      <c r="C901" t="s">
        <v>2002</v>
      </c>
      <c r="D901">
        <v>0</v>
      </c>
      <c r="E901" t="s">
        <v>1447</v>
      </c>
      <c r="F901" t="s">
        <v>2002</v>
      </c>
      <c r="G901" t="s">
        <v>1759</v>
      </c>
      <c r="H901" t="s">
        <v>2279</v>
      </c>
      <c r="I901" t="s">
        <v>2279</v>
      </c>
      <c r="J901" t="s">
        <v>2279</v>
      </c>
      <c r="K901" t="s">
        <v>2279</v>
      </c>
      <c r="L901" t="s">
        <v>1447</v>
      </c>
      <c r="M901" t="s">
        <v>2279</v>
      </c>
      <c r="N901" t="s">
        <v>2279</v>
      </c>
      <c r="O901" s="190" t="str">
        <f>"["&amp;$C901&amp;"]["&amp;$D901&amp;"]["&amp;$F901&amp;"]"</f>
        <v>[InstallationVisitsWaivedHighEmitters][0][InstallationVisitsWaivedHighEmitters]</v>
      </c>
    </row>
    <row r="902" spans="1:15" x14ac:dyDescent="0.3">
      <c r="A902" t="s">
        <v>2277</v>
      </c>
      <c r="B902" t="s">
        <v>2001</v>
      </c>
      <c r="C902" t="s">
        <v>2005</v>
      </c>
      <c r="D902">
        <v>0</v>
      </c>
      <c r="E902" t="s">
        <v>1447</v>
      </c>
      <c r="F902" t="s">
        <v>2005</v>
      </c>
      <c r="G902" t="s">
        <v>1759</v>
      </c>
      <c r="H902" t="s">
        <v>2279</v>
      </c>
      <c r="I902" t="s">
        <v>2279</v>
      </c>
      <c r="J902" t="s">
        <v>2279</v>
      </c>
      <c r="K902" t="s">
        <v>2279</v>
      </c>
      <c r="L902" t="s">
        <v>1419</v>
      </c>
      <c r="M902" t="s">
        <v>2279</v>
      </c>
      <c r="N902" t="s">
        <v>2279</v>
      </c>
      <c r="O902" s="190" t="str">
        <f>"["&amp;$C902&amp;"]["&amp;$D902&amp;"]["&amp;$F902&amp;"]"</f>
        <v>[InstallationsVisitsWaivedLowEmitters][0][InstallationsVisitsWaivedLowEmitters]</v>
      </c>
    </row>
    <row r="903" spans="1:15" x14ac:dyDescent="0.3">
      <c r="A903" t="s">
        <v>2277</v>
      </c>
      <c r="B903" t="s">
        <v>2001</v>
      </c>
      <c r="C903" t="s">
        <v>2006</v>
      </c>
      <c r="D903">
        <v>0</v>
      </c>
      <c r="E903" t="s">
        <v>1447</v>
      </c>
      <c r="F903" t="s">
        <v>2006</v>
      </c>
      <c r="G903" t="s">
        <v>1748</v>
      </c>
      <c r="H903" t="s">
        <v>2279</v>
      </c>
      <c r="I903">
        <v>73</v>
      </c>
      <c r="J903" t="s">
        <v>2279</v>
      </c>
      <c r="K903" t="s">
        <v>2279</v>
      </c>
      <c r="L903" t="s">
        <v>2279</v>
      </c>
      <c r="M903" t="s">
        <v>2279</v>
      </c>
      <c r="N903" t="s">
        <v>2279</v>
      </c>
      <c r="O903" s="190" t="str">
        <f>"["&amp;$C903&amp;"]["&amp;$D903&amp;"]["&amp;$F903&amp;"]"</f>
        <v>[InstallationsVisitsWaivedLowEmittersDetail][0][InstallationsVisitsWaivedLowEmittersDetail]</v>
      </c>
    </row>
    <row r="904" spans="1:15" x14ac:dyDescent="0.3">
      <c r="A904" t="s">
        <v>2277</v>
      </c>
      <c r="B904" t="s">
        <v>2007</v>
      </c>
      <c r="C904" t="s">
        <v>2008</v>
      </c>
      <c r="D904">
        <v>0</v>
      </c>
      <c r="E904" t="s">
        <v>1447</v>
      </c>
      <c r="F904" t="s">
        <v>2008</v>
      </c>
      <c r="G904" t="s">
        <v>1759</v>
      </c>
      <c r="H904" t="s">
        <v>2279</v>
      </c>
      <c r="I904" t="s">
        <v>2279</v>
      </c>
      <c r="J904" t="s">
        <v>2279</v>
      </c>
      <c r="K904" t="s">
        <v>2279</v>
      </c>
      <c r="L904" t="s">
        <v>1447</v>
      </c>
      <c r="M904" t="s">
        <v>2279</v>
      </c>
      <c r="N904" t="s">
        <v>2279</v>
      </c>
      <c r="O904" s="190" t="str">
        <f>"["&amp;$C904&amp;"]["&amp;$D904&amp;"]["&amp;$F904&amp;"]"</f>
        <v>[VirtualVisitsInstallations][0][VirtualVisitsInstallations]</v>
      </c>
    </row>
    <row r="905" spans="1:15" x14ac:dyDescent="0.3">
      <c r="A905" t="s">
        <v>2277</v>
      </c>
      <c r="B905" t="s">
        <v>2014</v>
      </c>
      <c r="C905" t="s">
        <v>2015</v>
      </c>
      <c r="D905">
        <v>1</v>
      </c>
      <c r="E905" t="s">
        <v>1447</v>
      </c>
      <c r="F905" t="s">
        <v>2016</v>
      </c>
      <c r="G905" t="s">
        <v>1741</v>
      </c>
      <c r="H905" t="s">
        <v>2379</v>
      </c>
      <c r="I905" t="s">
        <v>2279</v>
      </c>
      <c r="J905" t="s">
        <v>2279</v>
      </c>
      <c r="K905" t="s">
        <v>2279</v>
      </c>
      <c r="L905" t="s">
        <v>2279</v>
      </c>
      <c r="M905" t="s">
        <v>2279</v>
      </c>
      <c r="N905" t="s">
        <v>2279</v>
      </c>
      <c r="O905" s="190" t="str">
        <f>"["&amp;$C905&amp;"]["&amp;$D905&amp;"]["&amp;$F905&amp;"]"</f>
        <v>[S06_AircraftOperatorsConservativeEstimates][1][AircraftOperatorID]</v>
      </c>
    </row>
    <row r="906" spans="1:15" x14ac:dyDescent="0.3">
      <c r="A906" t="s">
        <v>2277</v>
      </c>
      <c r="B906" t="s">
        <v>2014</v>
      </c>
      <c r="C906" t="s">
        <v>2015</v>
      </c>
      <c r="D906">
        <v>1</v>
      </c>
      <c r="E906" t="s">
        <v>1447</v>
      </c>
      <c r="F906" t="s">
        <v>2017</v>
      </c>
      <c r="G906" t="s">
        <v>1806</v>
      </c>
      <c r="H906" t="s">
        <v>2279</v>
      </c>
      <c r="I906" t="s">
        <v>2279</v>
      </c>
      <c r="J906">
        <v>14778</v>
      </c>
      <c r="K906" t="s">
        <v>2279</v>
      </c>
      <c r="L906" t="s">
        <v>2279</v>
      </c>
      <c r="M906" t="s">
        <v>2279</v>
      </c>
      <c r="N906" t="s">
        <v>2279</v>
      </c>
      <c r="O906" s="190" t="str">
        <f>"["&amp;$C906&amp;"]["&amp;$D906&amp;"]["&amp;$F906&amp;"]"</f>
        <v>[S06_AircraftOperatorsConservativeEstimates][1][AircraftOperatorsAnnualEmissionsCO2e]</v>
      </c>
    </row>
    <row r="907" spans="1:15" x14ac:dyDescent="0.3">
      <c r="A907" t="s">
        <v>2277</v>
      </c>
      <c r="B907" t="s">
        <v>2014</v>
      </c>
      <c r="C907" t="s">
        <v>2015</v>
      </c>
      <c r="D907">
        <v>1</v>
      </c>
      <c r="E907" t="s">
        <v>1447</v>
      </c>
      <c r="F907" t="s">
        <v>1978</v>
      </c>
      <c r="G907" t="s">
        <v>1737</v>
      </c>
      <c r="H907" t="s">
        <v>2279</v>
      </c>
      <c r="I907" t="s">
        <v>2279</v>
      </c>
      <c r="J907" t="s">
        <v>2279</v>
      </c>
      <c r="K907" t="s">
        <v>2279</v>
      </c>
      <c r="L907" t="s">
        <v>1437</v>
      </c>
      <c r="M907" t="s">
        <v>2279</v>
      </c>
      <c r="N907" t="s">
        <v>2279</v>
      </c>
      <c r="O907" s="190" t="str">
        <f>"["&amp;$C907&amp;"]["&amp;$D907&amp;"]["&amp;$F907&amp;"]"</f>
        <v>[S06_AircraftOperatorsConservativeEstimates][1][ReasonConservativeEstimate]</v>
      </c>
    </row>
    <row r="908" spans="1:15" x14ac:dyDescent="0.3">
      <c r="A908" t="s">
        <v>2277</v>
      </c>
      <c r="B908" t="s">
        <v>2014</v>
      </c>
      <c r="C908" t="s">
        <v>2015</v>
      </c>
      <c r="D908">
        <v>1</v>
      </c>
      <c r="E908" t="s">
        <v>1447</v>
      </c>
      <c r="F908" t="s">
        <v>2018</v>
      </c>
      <c r="G908" t="s">
        <v>1806</v>
      </c>
      <c r="H908" t="s">
        <v>2279</v>
      </c>
      <c r="I908" t="s">
        <v>2279</v>
      </c>
      <c r="J908">
        <v>1</v>
      </c>
      <c r="K908" t="s">
        <v>2279</v>
      </c>
      <c r="L908" t="s">
        <v>2279</v>
      </c>
      <c r="M908" t="s">
        <v>2279</v>
      </c>
      <c r="N908" t="s">
        <v>2279</v>
      </c>
      <c r="O908" s="190" t="str">
        <f>"["&amp;$C908&amp;"]["&amp;$D908&amp;"]["&amp;$F908&amp;"]"</f>
        <v>[S06_AircraftOperatorsConservativeEstimates][1][AircraftOperatorsConservativeShare]</v>
      </c>
    </row>
    <row r="909" spans="1:15" x14ac:dyDescent="0.3">
      <c r="A909" t="s">
        <v>2277</v>
      </c>
      <c r="B909" t="s">
        <v>2014</v>
      </c>
      <c r="C909" t="s">
        <v>2015</v>
      </c>
      <c r="D909">
        <v>1</v>
      </c>
      <c r="E909" t="s">
        <v>1447</v>
      </c>
      <c r="F909" t="s">
        <v>1980</v>
      </c>
      <c r="G909" t="s">
        <v>1741</v>
      </c>
      <c r="H909" t="s">
        <v>2380</v>
      </c>
      <c r="I909" t="s">
        <v>2279</v>
      </c>
      <c r="J909" t="s">
        <v>2279</v>
      </c>
      <c r="K909" t="s">
        <v>2279</v>
      </c>
      <c r="L909" t="s">
        <v>2279</v>
      </c>
      <c r="M909" t="s">
        <v>2279</v>
      </c>
      <c r="N909" t="s">
        <v>2279</v>
      </c>
      <c r="O909" s="190" t="str">
        <f>"["&amp;$C909&amp;"]["&amp;$D909&amp;"]["&amp;$F909&amp;"]"</f>
        <v>[S06_AircraftOperatorsConservativeEstimates][1][ConservativeMethod]</v>
      </c>
    </row>
    <row r="910" spans="1:15" x14ac:dyDescent="0.3">
      <c r="A910" t="s">
        <v>2277</v>
      </c>
      <c r="B910" t="s">
        <v>2014</v>
      </c>
      <c r="C910" t="s">
        <v>2015</v>
      </c>
      <c r="D910">
        <v>1</v>
      </c>
      <c r="E910" t="s">
        <v>1447</v>
      </c>
      <c r="F910" t="s">
        <v>1981</v>
      </c>
      <c r="G910" t="s">
        <v>1737</v>
      </c>
      <c r="H910" t="s">
        <v>2279</v>
      </c>
      <c r="I910" t="s">
        <v>2279</v>
      </c>
      <c r="J910" t="s">
        <v>2279</v>
      </c>
      <c r="K910" t="s">
        <v>2279</v>
      </c>
      <c r="L910" t="s">
        <v>1527</v>
      </c>
      <c r="M910" t="s">
        <v>2279</v>
      </c>
      <c r="N910" t="s">
        <v>2279</v>
      </c>
      <c r="O910" s="190" t="str">
        <f>"["&amp;$C910&amp;"]["&amp;$D910&amp;"]["&amp;$F910&amp;"]"</f>
        <v>[S06_AircraftOperatorsConservativeEstimates][1][FurtherAction]</v>
      </c>
    </row>
    <row r="911" spans="1:15" x14ac:dyDescent="0.3">
      <c r="A911" t="s">
        <v>2277</v>
      </c>
      <c r="B911" t="s">
        <v>2014</v>
      </c>
      <c r="C911" t="s">
        <v>2015</v>
      </c>
      <c r="D911">
        <v>1</v>
      </c>
      <c r="E911" t="s">
        <v>1419</v>
      </c>
      <c r="F911" t="s">
        <v>2019</v>
      </c>
      <c r="G911" t="s">
        <v>1791</v>
      </c>
      <c r="H911" t="s">
        <v>2279</v>
      </c>
      <c r="I911" t="s">
        <v>2279</v>
      </c>
      <c r="J911" t="s">
        <v>2279</v>
      </c>
      <c r="K911" t="s">
        <v>2381</v>
      </c>
      <c r="L911" t="s">
        <v>2279</v>
      </c>
      <c r="M911" t="s">
        <v>2279</v>
      </c>
      <c r="N911" t="s">
        <v>2279</v>
      </c>
      <c r="O911" s="190" t="str">
        <f>"["&amp;$C911&amp;"]["&amp;$D911&amp;"]["&amp;$F911&amp;"]"</f>
        <v>[S06_AircraftOperatorsConservativeEstimates][1][FurtherActionOther]</v>
      </c>
    </row>
    <row r="912" spans="1:15" x14ac:dyDescent="0.3">
      <c r="A912" t="s">
        <v>2277</v>
      </c>
      <c r="B912" t="s">
        <v>2014</v>
      </c>
      <c r="C912" t="s">
        <v>2020</v>
      </c>
      <c r="D912">
        <v>1</v>
      </c>
      <c r="E912" t="s">
        <v>1447</v>
      </c>
      <c r="F912" t="s">
        <v>1984</v>
      </c>
      <c r="G912" t="s">
        <v>1748</v>
      </c>
      <c r="H912" t="s">
        <v>2279</v>
      </c>
      <c r="I912">
        <v>1</v>
      </c>
      <c r="J912" t="s">
        <v>2279</v>
      </c>
      <c r="K912" t="s">
        <v>2279</v>
      </c>
      <c r="L912" t="s">
        <v>2279</v>
      </c>
      <c r="M912" t="s">
        <v>2279</v>
      </c>
      <c r="N912" t="s">
        <v>2279</v>
      </c>
      <c r="O912" s="190" t="str">
        <f>"["&amp;$C912&amp;"]["&amp;$D912&amp;"]["&amp;$F912&amp;"]"</f>
        <v>[S06_NegativeOpinionAircraft][1][CountNegativeOpinions]</v>
      </c>
    </row>
    <row r="913" spans="1:15" x14ac:dyDescent="0.3">
      <c r="A913" t="s">
        <v>2277</v>
      </c>
      <c r="B913" t="s">
        <v>2014</v>
      </c>
      <c r="C913" t="s">
        <v>2020</v>
      </c>
      <c r="D913">
        <v>2</v>
      </c>
      <c r="E913" t="s">
        <v>1447</v>
      </c>
      <c r="F913" t="s">
        <v>1984</v>
      </c>
      <c r="G913" t="s">
        <v>1748</v>
      </c>
      <c r="H913" t="s">
        <v>2279</v>
      </c>
      <c r="I913">
        <v>0</v>
      </c>
      <c r="J913" t="s">
        <v>2279</v>
      </c>
      <c r="K913" t="s">
        <v>2279</v>
      </c>
      <c r="L913" t="s">
        <v>2279</v>
      </c>
      <c r="M913" t="s">
        <v>2279</v>
      </c>
      <c r="N913" t="s">
        <v>2279</v>
      </c>
      <c r="O913" s="190" t="str">
        <f>"["&amp;$C913&amp;"]["&amp;$D913&amp;"]["&amp;$F913&amp;"]"</f>
        <v>[S06_NegativeOpinionAircraft][2][CountNegativeOpinions]</v>
      </c>
    </row>
    <row r="914" spans="1:15" x14ac:dyDescent="0.3">
      <c r="A914" t="s">
        <v>2277</v>
      </c>
      <c r="B914" t="s">
        <v>2014</v>
      </c>
      <c r="C914" t="s">
        <v>2020</v>
      </c>
      <c r="D914">
        <v>3</v>
      </c>
      <c r="E914" t="s">
        <v>1447</v>
      </c>
      <c r="F914" t="s">
        <v>1984</v>
      </c>
      <c r="G914" t="s">
        <v>1748</v>
      </c>
      <c r="H914" t="s">
        <v>2279</v>
      </c>
      <c r="I914">
        <v>0</v>
      </c>
      <c r="J914" t="s">
        <v>2279</v>
      </c>
      <c r="K914" t="s">
        <v>2279</v>
      </c>
      <c r="L914" t="s">
        <v>2279</v>
      </c>
      <c r="M914" t="s">
        <v>2279</v>
      </c>
      <c r="N914" t="s">
        <v>2279</v>
      </c>
      <c r="O914" s="190" t="str">
        <f>"["&amp;$C914&amp;"]["&amp;$D914&amp;"]["&amp;$F914&amp;"]"</f>
        <v>[S06_NegativeOpinionAircraft][3][CountNegativeOpinions]</v>
      </c>
    </row>
    <row r="915" spans="1:15" x14ac:dyDescent="0.3">
      <c r="A915" t="s">
        <v>2277</v>
      </c>
      <c r="B915" t="s">
        <v>2014</v>
      </c>
      <c r="C915" t="s">
        <v>2020</v>
      </c>
      <c r="D915">
        <v>4</v>
      </c>
      <c r="E915" t="s">
        <v>1447</v>
      </c>
      <c r="F915" t="s">
        <v>1984</v>
      </c>
      <c r="G915" t="s">
        <v>1748</v>
      </c>
      <c r="H915" t="s">
        <v>2279</v>
      </c>
      <c r="I915">
        <v>0</v>
      </c>
      <c r="J915" t="s">
        <v>2279</v>
      </c>
      <c r="K915" t="s">
        <v>2279</v>
      </c>
      <c r="L915" t="s">
        <v>2279</v>
      </c>
      <c r="M915" t="s">
        <v>2279</v>
      </c>
      <c r="N915" t="s">
        <v>2279</v>
      </c>
      <c r="O915" s="190" t="str">
        <f>"["&amp;$C915&amp;"]["&amp;$D915&amp;"]["&amp;$F915&amp;"]"</f>
        <v>[S06_NegativeOpinionAircraft][4][CountNegativeOpinions]</v>
      </c>
    </row>
    <row r="916" spans="1:15" x14ac:dyDescent="0.3">
      <c r="A916" t="s">
        <v>2277</v>
      </c>
      <c r="B916" t="s">
        <v>2021</v>
      </c>
      <c r="C916" t="s">
        <v>2022</v>
      </c>
      <c r="D916">
        <v>0</v>
      </c>
      <c r="E916" t="s">
        <v>1447</v>
      </c>
      <c r="F916" t="s">
        <v>2022</v>
      </c>
      <c r="G916" t="s">
        <v>1759</v>
      </c>
      <c r="H916" t="s">
        <v>2279</v>
      </c>
      <c r="I916" t="s">
        <v>2279</v>
      </c>
      <c r="J916" t="s">
        <v>2279</v>
      </c>
      <c r="K916" t="s">
        <v>2279</v>
      </c>
      <c r="L916" t="s">
        <v>1419</v>
      </c>
      <c r="M916" t="s">
        <v>2279</v>
      </c>
      <c r="N916" t="s">
        <v>2279</v>
      </c>
      <c r="O916" s="190" t="str">
        <f>"["&amp;$C916&amp;"]["&amp;$D916&amp;"]["&amp;$F916&amp;"]"</f>
        <v>[AircraftOperatorsVerificationReportIssues][0][AircraftOperatorsVerificationReportIssues]</v>
      </c>
    </row>
    <row r="917" spans="1:15" x14ac:dyDescent="0.3">
      <c r="A917" t="s">
        <v>2277</v>
      </c>
      <c r="B917" t="s">
        <v>2021</v>
      </c>
      <c r="C917" t="s">
        <v>2023</v>
      </c>
      <c r="D917">
        <v>1</v>
      </c>
      <c r="E917" t="s">
        <v>1447</v>
      </c>
      <c r="F917" t="s">
        <v>1989</v>
      </c>
      <c r="G917" t="s">
        <v>1737</v>
      </c>
      <c r="H917" t="s">
        <v>2279</v>
      </c>
      <c r="I917" t="s">
        <v>2279</v>
      </c>
      <c r="J917" t="s">
        <v>2279</v>
      </c>
      <c r="K917" t="s">
        <v>2279</v>
      </c>
      <c r="L917" t="s">
        <v>1467</v>
      </c>
      <c r="M917" t="s">
        <v>2279</v>
      </c>
      <c r="N917" t="s">
        <v>2279</v>
      </c>
      <c r="O917" s="190" t="str">
        <f>"["&amp;$C917&amp;"]["&amp;$D917&amp;"]["&amp;$F917&amp;"]"</f>
        <v>[S06_AircraftOperatorsVerificationReportIssuesEmissions][1][TypeOfIssue]</v>
      </c>
    </row>
    <row r="918" spans="1:15" x14ac:dyDescent="0.3">
      <c r="A918" t="s">
        <v>2277</v>
      </c>
      <c r="B918" t="s">
        <v>2021</v>
      </c>
      <c r="C918" t="s">
        <v>2023</v>
      </c>
      <c r="D918">
        <v>1</v>
      </c>
      <c r="E918" t="s">
        <v>1447</v>
      </c>
      <c r="F918" t="s">
        <v>2024</v>
      </c>
      <c r="G918" t="s">
        <v>1748</v>
      </c>
      <c r="H918" t="s">
        <v>2279</v>
      </c>
      <c r="I918">
        <v>1</v>
      </c>
      <c r="J918" t="s">
        <v>2279</v>
      </c>
      <c r="K918" t="s">
        <v>2279</v>
      </c>
      <c r="L918" t="s">
        <v>2279</v>
      </c>
      <c r="M918" t="s">
        <v>2279</v>
      </c>
      <c r="N918" t="s">
        <v>2279</v>
      </c>
      <c r="O918" s="190" t="str">
        <f>"["&amp;$C918&amp;"]["&amp;$D918&amp;"]["&amp;$F918&amp;"]"</f>
        <v>[S06_AircraftOperatorsVerificationReportIssuesEmissions][1][NumberOfAircraftOperators]</v>
      </c>
    </row>
    <row r="919" spans="1:15" x14ac:dyDescent="0.3">
      <c r="A919" t="s">
        <v>2277</v>
      </c>
      <c r="B919" t="s">
        <v>2021</v>
      </c>
      <c r="C919" t="s">
        <v>2023</v>
      </c>
      <c r="D919">
        <v>1</v>
      </c>
      <c r="E919" t="s">
        <v>1447</v>
      </c>
      <c r="F919" t="s">
        <v>1972</v>
      </c>
      <c r="G919" t="s">
        <v>1748</v>
      </c>
      <c r="H919" t="s">
        <v>2279</v>
      </c>
      <c r="I919">
        <v>1</v>
      </c>
      <c r="J919" t="s">
        <v>2279</v>
      </c>
      <c r="K919" t="s">
        <v>2279</v>
      </c>
      <c r="L919" t="s">
        <v>2279</v>
      </c>
      <c r="M919" t="s">
        <v>2279</v>
      </c>
      <c r="N919" t="s">
        <v>2279</v>
      </c>
      <c r="O919" s="190" t="str">
        <f>"["&amp;$C919&amp;"]["&amp;$D919&amp;"]["&amp;$F919&amp;"]"</f>
        <v>[S06_AircraftOperatorsVerificationReportIssuesEmissions][1][NumberOfIssues]</v>
      </c>
    </row>
    <row r="920" spans="1:15" x14ac:dyDescent="0.3">
      <c r="A920" t="s">
        <v>2277</v>
      </c>
      <c r="B920" t="s">
        <v>2021</v>
      </c>
      <c r="C920" t="s">
        <v>2023</v>
      </c>
      <c r="D920">
        <v>1</v>
      </c>
      <c r="E920" t="s">
        <v>1447</v>
      </c>
      <c r="F920" t="s">
        <v>1990</v>
      </c>
      <c r="G920" t="s">
        <v>1806</v>
      </c>
      <c r="H920" t="s">
        <v>2279</v>
      </c>
      <c r="I920" t="s">
        <v>2279</v>
      </c>
      <c r="J920">
        <v>0</v>
      </c>
      <c r="K920" t="s">
        <v>2279</v>
      </c>
      <c r="L920" t="s">
        <v>2279</v>
      </c>
      <c r="M920" t="s">
        <v>2279</v>
      </c>
      <c r="N920" t="s">
        <v>2279</v>
      </c>
      <c r="O920" s="190" t="str">
        <f>"["&amp;$C920&amp;"]["&amp;$D920&amp;"]["&amp;$F920&amp;"]"</f>
        <v>[S06_AircraftOperatorsVerificationReportIssuesEmissions][1][ShareOfReportsConservativeEstimate]</v>
      </c>
    </row>
    <row r="921" spans="1:15" x14ac:dyDescent="0.3">
      <c r="A921" t="s">
        <v>2277</v>
      </c>
      <c r="B921" t="s">
        <v>2026</v>
      </c>
      <c r="C921" t="s">
        <v>2027</v>
      </c>
      <c r="D921">
        <v>0</v>
      </c>
      <c r="E921" t="s">
        <v>1447</v>
      </c>
      <c r="F921" t="s">
        <v>2027</v>
      </c>
      <c r="G921" t="s">
        <v>1759</v>
      </c>
      <c r="H921" t="s">
        <v>2279</v>
      </c>
      <c r="I921" t="s">
        <v>2279</v>
      </c>
      <c r="J921" t="s">
        <v>2279</v>
      </c>
      <c r="K921" t="s">
        <v>2279</v>
      </c>
      <c r="L921" t="s">
        <v>1419</v>
      </c>
      <c r="M921" t="s">
        <v>2279</v>
      </c>
      <c r="N921" t="s">
        <v>2279</v>
      </c>
      <c r="O921" s="190" t="str">
        <f>"["&amp;$C921&amp;"]["&amp;$D921&amp;"]["&amp;$F921&amp;"]"</f>
        <v>[AircraftOperatorsVerificationReportChecks][0][AircraftOperatorsVerificationReportChecks]</v>
      </c>
    </row>
    <row r="922" spans="1:15" x14ac:dyDescent="0.3">
      <c r="A922" t="s">
        <v>2277</v>
      </c>
      <c r="B922" t="s">
        <v>2026</v>
      </c>
      <c r="C922" t="s">
        <v>2028</v>
      </c>
      <c r="D922">
        <v>1</v>
      </c>
      <c r="E922" t="s">
        <v>1447</v>
      </c>
      <c r="F922" t="s">
        <v>1994</v>
      </c>
      <c r="G922" t="s">
        <v>1806</v>
      </c>
      <c r="H922" t="s">
        <v>2279</v>
      </c>
      <c r="I922" t="s">
        <v>2279</v>
      </c>
      <c r="J922">
        <v>1</v>
      </c>
      <c r="K922" t="s">
        <v>2279</v>
      </c>
      <c r="L922" t="s">
        <v>2279</v>
      </c>
      <c r="M922" t="s">
        <v>2279</v>
      </c>
      <c r="N922" t="s">
        <v>2279</v>
      </c>
      <c r="O922" s="190" t="str">
        <f>"["&amp;$C922&amp;"]["&amp;$D922&amp;"]["&amp;$F922&amp;"]"</f>
        <v>[S06_AircraftOperatorsVerificationEmissionReportChecks1][1][PercentageShare]</v>
      </c>
    </row>
    <row r="923" spans="1:15" x14ac:dyDescent="0.3">
      <c r="A923" t="s">
        <v>2277</v>
      </c>
      <c r="B923" t="s">
        <v>2026</v>
      </c>
      <c r="C923" t="s">
        <v>2028</v>
      </c>
      <c r="D923">
        <v>2</v>
      </c>
      <c r="E923" t="s">
        <v>1447</v>
      </c>
      <c r="F923" t="s">
        <v>1994</v>
      </c>
      <c r="G923" t="s">
        <v>1806</v>
      </c>
      <c r="H923" t="s">
        <v>2279</v>
      </c>
      <c r="I923" t="s">
        <v>2279</v>
      </c>
      <c r="J923">
        <v>1</v>
      </c>
      <c r="K923" t="s">
        <v>2279</v>
      </c>
      <c r="L923" t="s">
        <v>2279</v>
      </c>
      <c r="M923" t="s">
        <v>2279</v>
      </c>
      <c r="N923" t="s">
        <v>2279</v>
      </c>
      <c r="O923" s="190" t="str">
        <f>"["&amp;$C923&amp;"]["&amp;$D923&amp;"]["&amp;$F923&amp;"]"</f>
        <v>[S06_AircraftOperatorsVerificationEmissionReportChecks1][2][PercentageShare]</v>
      </c>
    </row>
    <row r="924" spans="1:15" x14ac:dyDescent="0.3">
      <c r="A924" t="s">
        <v>2277</v>
      </c>
      <c r="B924" t="s">
        <v>2026</v>
      </c>
      <c r="C924" t="s">
        <v>2028</v>
      </c>
      <c r="D924">
        <v>3</v>
      </c>
      <c r="E924" t="s">
        <v>1447</v>
      </c>
      <c r="F924" t="s">
        <v>1994</v>
      </c>
      <c r="G924" t="s">
        <v>1806</v>
      </c>
      <c r="H924" t="s">
        <v>2279</v>
      </c>
      <c r="I924" t="s">
        <v>2279</v>
      </c>
      <c r="J924">
        <v>1</v>
      </c>
      <c r="K924" t="s">
        <v>2279</v>
      </c>
      <c r="L924" t="s">
        <v>2279</v>
      </c>
      <c r="M924" t="s">
        <v>2279</v>
      </c>
      <c r="N924" t="s">
        <v>2279</v>
      </c>
      <c r="O924" s="190" t="str">
        <f>"["&amp;$C924&amp;"]["&amp;$D924&amp;"]["&amp;$F924&amp;"]"</f>
        <v>[S06_AircraftOperatorsVerificationEmissionReportChecks1][3][PercentageShare]</v>
      </c>
    </row>
    <row r="925" spans="1:15" x14ac:dyDescent="0.3">
      <c r="A925" t="s">
        <v>2277</v>
      </c>
      <c r="B925" t="s">
        <v>2026</v>
      </c>
      <c r="C925" t="s">
        <v>2028</v>
      </c>
      <c r="D925">
        <v>4</v>
      </c>
      <c r="E925" t="s">
        <v>1447</v>
      </c>
      <c r="F925" t="s">
        <v>1994</v>
      </c>
      <c r="G925" t="s">
        <v>1806</v>
      </c>
      <c r="H925" t="s">
        <v>2279</v>
      </c>
      <c r="I925" t="s">
        <v>2279</v>
      </c>
      <c r="J925">
        <v>0.3</v>
      </c>
      <c r="K925" t="s">
        <v>2279</v>
      </c>
      <c r="L925" t="s">
        <v>2279</v>
      </c>
      <c r="M925" t="s">
        <v>2279</v>
      </c>
      <c r="N925" t="s">
        <v>2279</v>
      </c>
      <c r="O925" s="190" t="str">
        <f>"["&amp;$C925&amp;"]["&amp;$D925&amp;"]["&amp;$F925&amp;"]"</f>
        <v>[S06_AircraftOperatorsVerificationEmissionReportChecks1][4][PercentageShare]</v>
      </c>
    </row>
    <row r="926" spans="1:15" x14ac:dyDescent="0.3">
      <c r="A926" t="s">
        <v>2277</v>
      </c>
      <c r="B926" t="s">
        <v>2026</v>
      </c>
      <c r="C926" t="s">
        <v>2028</v>
      </c>
      <c r="D926">
        <v>3</v>
      </c>
      <c r="E926" t="s">
        <v>1447</v>
      </c>
      <c r="F926" t="s">
        <v>1995</v>
      </c>
      <c r="G926" t="s">
        <v>1791</v>
      </c>
      <c r="H926" t="s">
        <v>2279</v>
      </c>
      <c r="I926" t="s">
        <v>2279</v>
      </c>
      <c r="J926" t="s">
        <v>2279</v>
      </c>
      <c r="K926" t="s">
        <v>2382</v>
      </c>
      <c r="L926" t="s">
        <v>2279</v>
      </c>
      <c r="M926" t="s">
        <v>2279</v>
      </c>
      <c r="N926" t="s">
        <v>2279</v>
      </c>
      <c r="O926" s="190" t="str">
        <f>"["&amp;$C926&amp;"]["&amp;$D926&amp;"]["&amp;$F926&amp;"]"</f>
        <v>[S06_AircraftOperatorsVerificationEmissionReportChecks1][3][FurtherInformation]</v>
      </c>
    </row>
    <row r="927" spans="1:15" x14ac:dyDescent="0.3">
      <c r="A927" t="s">
        <v>2277</v>
      </c>
      <c r="B927" t="s">
        <v>2026</v>
      </c>
      <c r="C927" t="s">
        <v>2028</v>
      </c>
      <c r="D927">
        <v>4</v>
      </c>
      <c r="E927" t="s">
        <v>1447</v>
      </c>
      <c r="F927" t="s">
        <v>1995</v>
      </c>
      <c r="G927" t="s">
        <v>1791</v>
      </c>
      <c r="H927" t="s">
        <v>2279</v>
      </c>
      <c r="I927" t="s">
        <v>2279</v>
      </c>
      <c r="J927" t="s">
        <v>2279</v>
      </c>
      <c r="K927" t="s">
        <v>2383</v>
      </c>
      <c r="L927" t="s">
        <v>2279</v>
      </c>
      <c r="M927" t="s">
        <v>2279</v>
      </c>
      <c r="N927" t="s">
        <v>2279</v>
      </c>
      <c r="O927" s="190" t="str">
        <f>"["&amp;$C927&amp;"]["&amp;$D927&amp;"]["&amp;$F927&amp;"]"</f>
        <v>[S06_AircraftOperatorsVerificationEmissionReportChecks1][4][FurtherInformation]</v>
      </c>
    </row>
    <row r="928" spans="1:15" x14ac:dyDescent="0.3">
      <c r="A928" t="s">
        <v>2277</v>
      </c>
      <c r="B928" t="s">
        <v>2026</v>
      </c>
      <c r="C928" t="s">
        <v>2028</v>
      </c>
      <c r="D928">
        <v>4</v>
      </c>
      <c r="E928" t="s">
        <v>1447</v>
      </c>
      <c r="F928" t="s">
        <v>1996</v>
      </c>
      <c r="G928" t="s">
        <v>1737</v>
      </c>
      <c r="H928" t="s">
        <v>2279</v>
      </c>
      <c r="I928" t="s">
        <v>2279</v>
      </c>
      <c r="J928" t="s">
        <v>2279</v>
      </c>
      <c r="K928" t="s">
        <v>2279</v>
      </c>
      <c r="L928" t="s">
        <v>1513</v>
      </c>
      <c r="M928" t="s">
        <v>2279</v>
      </c>
      <c r="N928" t="s">
        <v>2279</v>
      </c>
      <c r="O928" s="190" t="str">
        <f>"["&amp;$C928&amp;"]["&amp;$D928&amp;"]["&amp;$F928&amp;"]"</f>
        <v>[S06_AircraftOperatorsVerificationEmissionReportChecks1][4][SelectingCriteria]</v>
      </c>
    </row>
    <row r="929" spans="1:15" x14ac:dyDescent="0.3">
      <c r="A929" t="s">
        <v>2277</v>
      </c>
      <c r="B929" t="s">
        <v>2026</v>
      </c>
      <c r="C929" t="s">
        <v>2029</v>
      </c>
      <c r="D929">
        <v>1</v>
      </c>
      <c r="E929" t="s">
        <v>1447</v>
      </c>
      <c r="F929" t="s">
        <v>1998</v>
      </c>
      <c r="G929" t="s">
        <v>1748</v>
      </c>
      <c r="H929" t="s">
        <v>2279</v>
      </c>
      <c r="I929">
        <v>0</v>
      </c>
      <c r="J929" t="s">
        <v>2279</v>
      </c>
      <c r="K929" t="s">
        <v>2279</v>
      </c>
      <c r="L929" t="s">
        <v>2279</v>
      </c>
      <c r="M929" t="s">
        <v>2279</v>
      </c>
      <c r="N929" t="s">
        <v>2279</v>
      </c>
      <c r="O929" s="190" t="str">
        <f>"["&amp;$C929&amp;"]["&amp;$D929&amp;"]["&amp;$F929&amp;"]"</f>
        <v>[S06_AircraftOperatorsVerificationEmissionReportChecks2][1][NumberOfReports]</v>
      </c>
    </row>
    <row r="930" spans="1:15" x14ac:dyDescent="0.3">
      <c r="A930" t="s">
        <v>2277</v>
      </c>
      <c r="B930" t="s">
        <v>2026</v>
      </c>
      <c r="C930" t="s">
        <v>2029</v>
      </c>
      <c r="D930">
        <v>2</v>
      </c>
      <c r="E930" t="s">
        <v>1447</v>
      </c>
      <c r="F930" t="s">
        <v>1998</v>
      </c>
      <c r="G930" t="s">
        <v>1748</v>
      </c>
      <c r="H930" t="s">
        <v>2279</v>
      </c>
      <c r="I930">
        <v>0</v>
      </c>
      <c r="J930" t="s">
        <v>2279</v>
      </c>
      <c r="K930" t="s">
        <v>2279</v>
      </c>
      <c r="L930" t="s">
        <v>2279</v>
      </c>
      <c r="M930" t="s">
        <v>2279</v>
      </c>
      <c r="N930" t="s">
        <v>2279</v>
      </c>
      <c r="O930" s="190" t="str">
        <f>"["&amp;$C930&amp;"]["&amp;$D930&amp;"]["&amp;$F930&amp;"]"</f>
        <v>[S06_AircraftOperatorsVerificationEmissionReportChecks2][2][NumberOfReports]</v>
      </c>
    </row>
    <row r="931" spans="1:15" x14ac:dyDescent="0.3">
      <c r="A931" t="s">
        <v>2277</v>
      </c>
      <c r="B931" t="s">
        <v>2026</v>
      </c>
      <c r="C931" t="s">
        <v>2029</v>
      </c>
      <c r="D931">
        <v>2</v>
      </c>
      <c r="E931" t="s">
        <v>1447</v>
      </c>
      <c r="F931" t="s">
        <v>1995</v>
      </c>
      <c r="G931" t="s">
        <v>1791</v>
      </c>
      <c r="H931" t="s">
        <v>2279</v>
      </c>
      <c r="I931" t="s">
        <v>2279</v>
      </c>
      <c r="J931" t="s">
        <v>2279</v>
      </c>
      <c r="K931" t="s">
        <v>2377</v>
      </c>
      <c r="L931" t="s">
        <v>2279</v>
      </c>
      <c r="M931" t="s">
        <v>2279</v>
      </c>
      <c r="N931" t="s">
        <v>2279</v>
      </c>
      <c r="O931" s="190" t="str">
        <f>"["&amp;$C931&amp;"]["&amp;$D931&amp;"]["&amp;$F931&amp;"]"</f>
        <v>[S06_AircraftOperatorsVerificationEmissionReportChecks2][2][FurtherInformation]</v>
      </c>
    </row>
    <row r="932" spans="1:15" x14ac:dyDescent="0.3">
      <c r="A932" t="s">
        <v>2277</v>
      </c>
      <c r="B932" t="s">
        <v>2026</v>
      </c>
      <c r="C932" t="s">
        <v>2030</v>
      </c>
      <c r="D932">
        <v>1</v>
      </c>
      <c r="E932" t="s">
        <v>1447</v>
      </c>
      <c r="F932" t="s">
        <v>2000</v>
      </c>
      <c r="G932" t="s">
        <v>1741</v>
      </c>
      <c r="H932" t="s">
        <v>2377</v>
      </c>
      <c r="I932" t="s">
        <v>2279</v>
      </c>
      <c r="J932" t="s">
        <v>2279</v>
      </c>
      <c r="K932" t="s">
        <v>2279</v>
      </c>
      <c r="L932" t="s">
        <v>2279</v>
      </c>
      <c r="M932" t="s">
        <v>2279</v>
      </c>
      <c r="N932" t="s">
        <v>2279</v>
      </c>
      <c r="O932" s="190" t="str">
        <f>"["&amp;$C932&amp;"]["&amp;$D932&amp;"]["&amp;$F932&amp;"]"</f>
        <v>[S06_AircraftOperatorsVerificationEmissionReportChecks3][1][ActionsTaken]</v>
      </c>
    </row>
    <row r="933" spans="1:15" x14ac:dyDescent="0.3">
      <c r="A933" t="s">
        <v>2277</v>
      </c>
      <c r="B933" t="s">
        <v>2026</v>
      </c>
      <c r="C933" t="s">
        <v>2030</v>
      </c>
      <c r="D933">
        <v>2</v>
      </c>
      <c r="E933" t="s">
        <v>1419</v>
      </c>
      <c r="F933" t="s">
        <v>2000</v>
      </c>
      <c r="G933" t="s">
        <v>1791</v>
      </c>
      <c r="H933" t="s">
        <v>2279</v>
      </c>
      <c r="I933" t="s">
        <v>2279</v>
      </c>
      <c r="J933" t="s">
        <v>2279</v>
      </c>
      <c r="K933" t="s">
        <v>2384</v>
      </c>
      <c r="L933" t="s">
        <v>2279</v>
      </c>
      <c r="M933" t="s">
        <v>2279</v>
      </c>
      <c r="N933" t="s">
        <v>2279</v>
      </c>
      <c r="O933" s="190" t="str">
        <f>"["&amp;$C933&amp;"]["&amp;$D933&amp;"]["&amp;$F933&amp;"]"</f>
        <v>[S06_AircraftOperatorsVerificationEmissionReportChecks3][2][ActionsTaken]</v>
      </c>
    </row>
    <row r="934" spans="1:15" x14ac:dyDescent="0.3">
      <c r="A934" t="s">
        <v>2277</v>
      </c>
      <c r="B934" t="s">
        <v>2034</v>
      </c>
      <c r="C934" t="s">
        <v>2035</v>
      </c>
      <c r="D934">
        <v>0</v>
      </c>
      <c r="E934" t="s">
        <v>1447</v>
      </c>
      <c r="F934" t="s">
        <v>2035</v>
      </c>
      <c r="G934" t="s">
        <v>1759</v>
      </c>
      <c r="H934" t="s">
        <v>2279</v>
      </c>
      <c r="I934" t="s">
        <v>2279</v>
      </c>
      <c r="J934" t="s">
        <v>2279</v>
      </c>
      <c r="K934" t="s">
        <v>2279</v>
      </c>
      <c r="L934" t="s">
        <v>1419</v>
      </c>
      <c r="M934" t="s">
        <v>2279</v>
      </c>
      <c r="N934" t="s">
        <v>2279</v>
      </c>
      <c r="O934" s="190" t="str">
        <f>"["&amp;$C934&amp;"]["&amp;$D934&amp;"]["&amp;$F934&amp;"]"</f>
        <v>[AircraftOperatorsVisitsWaivedLowEmitters][0][AircraftOperatorsVisitsWaivedLowEmitters]</v>
      </c>
    </row>
    <row r="935" spans="1:15" x14ac:dyDescent="0.3">
      <c r="A935" t="s">
        <v>2277</v>
      </c>
      <c r="B935" t="s">
        <v>2034</v>
      </c>
      <c r="C935" t="s">
        <v>2036</v>
      </c>
      <c r="D935">
        <v>0</v>
      </c>
      <c r="E935" t="s">
        <v>1447</v>
      </c>
      <c r="F935" t="s">
        <v>2036</v>
      </c>
      <c r="G935" t="s">
        <v>1748</v>
      </c>
      <c r="H935" t="s">
        <v>2279</v>
      </c>
      <c r="I935">
        <v>1</v>
      </c>
      <c r="J935" t="s">
        <v>2279</v>
      </c>
      <c r="K935" t="s">
        <v>2279</v>
      </c>
      <c r="L935" t="s">
        <v>2279</v>
      </c>
      <c r="M935" t="s">
        <v>2279</v>
      </c>
      <c r="N935" t="s">
        <v>2279</v>
      </c>
      <c r="O935" s="190" t="str">
        <f>"["&amp;$C935&amp;"]["&amp;$D935&amp;"]["&amp;$F935&amp;"]"</f>
        <v>[AircraftOperatorsVisitsWaivedLowEmittersDetail][0][AircraftOperatorsVisitsWaivedLowEmittersDetail]</v>
      </c>
    </row>
    <row r="936" spans="1:15" x14ac:dyDescent="0.3">
      <c r="A936" t="s">
        <v>2277</v>
      </c>
      <c r="B936" t="s">
        <v>2037</v>
      </c>
      <c r="C936" t="s">
        <v>2038</v>
      </c>
      <c r="D936">
        <v>0</v>
      </c>
      <c r="E936" t="s">
        <v>1447</v>
      </c>
      <c r="F936" t="s">
        <v>2038</v>
      </c>
      <c r="G936" t="s">
        <v>1759</v>
      </c>
      <c r="H936" t="s">
        <v>2279</v>
      </c>
      <c r="I936" t="s">
        <v>2279</v>
      </c>
      <c r="J936" t="s">
        <v>2279</v>
      </c>
      <c r="K936" t="s">
        <v>2279</v>
      </c>
      <c r="L936" t="s">
        <v>1447</v>
      </c>
      <c r="M936" t="s">
        <v>2279</v>
      </c>
      <c r="N936" t="s">
        <v>2279</v>
      </c>
      <c r="O936" s="190" t="str">
        <f>"["&amp;$C936&amp;"]["&amp;$D936&amp;"]["&amp;$F936&amp;"]"</f>
        <v>[VirtualVisitsAircraft][0][VirtualVisitsAircraft]</v>
      </c>
    </row>
    <row r="937" spans="1:15" x14ac:dyDescent="0.3">
      <c r="A937" t="s">
        <v>2277</v>
      </c>
      <c r="B937" t="s">
        <v>2048</v>
      </c>
      <c r="C937" t="s">
        <v>2049</v>
      </c>
      <c r="D937">
        <v>0</v>
      </c>
      <c r="E937" t="s">
        <v>1447</v>
      </c>
      <c r="F937" t="s">
        <v>2049</v>
      </c>
      <c r="G937" t="s">
        <v>1748</v>
      </c>
      <c r="H937" t="s">
        <v>2279</v>
      </c>
      <c r="I937">
        <v>0</v>
      </c>
      <c r="J937" t="s">
        <v>2279</v>
      </c>
      <c r="K937" t="s">
        <v>2279</v>
      </c>
      <c r="L937" t="s">
        <v>2279</v>
      </c>
      <c r="M937" t="s">
        <v>2279</v>
      </c>
      <c r="N937" t="s">
        <v>2279</v>
      </c>
      <c r="O937" s="190" t="str">
        <f>"["&amp;$C937&amp;"]["&amp;$D937&amp;"]["&amp;$F937&amp;"]"</f>
        <v>[AircraftOperatorsMandateArt15UseNumber][0][AircraftOperatorsMandateArt15UseNumber]</v>
      </c>
    </row>
    <row r="938" spans="1:15" x14ac:dyDescent="0.3">
      <c r="A938" t="s">
        <v>2277</v>
      </c>
      <c r="B938" t="s">
        <v>2052</v>
      </c>
      <c r="C938" t="s">
        <v>2053</v>
      </c>
      <c r="D938">
        <v>0</v>
      </c>
      <c r="E938" t="s">
        <v>1447</v>
      </c>
      <c r="F938" t="s">
        <v>2053</v>
      </c>
      <c r="G938" t="s">
        <v>1759</v>
      </c>
      <c r="H938" t="s">
        <v>2279</v>
      </c>
      <c r="I938" t="s">
        <v>2279</v>
      </c>
      <c r="J938" t="s">
        <v>2279</v>
      </c>
      <c r="K938" t="s">
        <v>2279</v>
      </c>
      <c r="L938" t="s">
        <v>1419</v>
      </c>
      <c r="M938" t="s">
        <v>2279</v>
      </c>
      <c r="N938" t="s">
        <v>2279</v>
      </c>
      <c r="O938" s="190" t="str">
        <f>"["&amp;$C938&amp;"]["&amp;$D938&amp;"]["&amp;$F938&amp;"]"</f>
        <v>[CommissionTemplatesAllocation][0][CommissionTemplatesAllocation]</v>
      </c>
    </row>
    <row r="939" spans="1:15" x14ac:dyDescent="0.3">
      <c r="A939" t="s">
        <v>2277</v>
      </c>
      <c r="B939" t="s">
        <v>2055</v>
      </c>
      <c r="C939" t="s">
        <v>2056</v>
      </c>
      <c r="D939">
        <v>0</v>
      </c>
      <c r="E939" t="s">
        <v>1447</v>
      </c>
      <c r="F939" t="s">
        <v>2056</v>
      </c>
      <c r="G939" t="s">
        <v>1759</v>
      </c>
      <c r="H939" t="s">
        <v>2279</v>
      </c>
      <c r="I939" t="s">
        <v>2279</v>
      </c>
      <c r="J939" t="s">
        <v>2279</v>
      </c>
      <c r="K939" t="s">
        <v>2279</v>
      </c>
      <c r="L939" t="s">
        <v>1447</v>
      </c>
      <c r="M939" t="s">
        <v>2279</v>
      </c>
      <c r="N939" t="s">
        <v>2279</v>
      </c>
      <c r="O939" s="190" t="str">
        <f>"["&amp;$C939&amp;"]["&amp;$D939&amp;"]["&amp;$F939&amp;"]"</f>
        <v>[FeesAllocation][0][FeesAllocation]</v>
      </c>
    </row>
    <row r="940" spans="1:15" x14ac:dyDescent="0.3">
      <c r="A940" t="s">
        <v>2277</v>
      </c>
      <c r="B940" t="s">
        <v>2060</v>
      </c>
      <c r="C940" t="s">
        <v>2061</v>
      </c>
      <c r="D940">
        <v>0</v>
      </c>
      <c r="E940" t="s">
        <v>1447</v>
      </c>
      <c r="F940" t="s">
        <v>2061</v>
      </c>
      <c r="G940" t="s">
        <v>1759</v>
      </c>
      <c r="H940" t="s">
        <v>2279</v>
      </c>
      <c r="I940" t="s">
        <v>2279</v>
      </c>
      <c r="J940" t="s">
        <v>2279</v>
      </c>
      <c r="K940" t="s">
        <v>2279</v>
      </c>
      <c r="L940" t="s">
        <v>1447</v>
      </c>
      <c r="M940" t="s">
        <v>2279</v>
      </c>
      <c r="N940" t="s">
        <v>2279</v>
      </c>
      <c r="O940" s="190" t="str">
        <f>"["&amp;$C940&amp;"]["&amp;$D940&amp;"]["&amp;$F940&amp;"]"</f>
        <v>[ITforAllocationData][0][ITforAllocationData]</v>
      </c>
    </row>
    <row r="941" spans="1:15" x14ac:dyDescent="0.3">
      <c r="A941" t="s">
        <v>2277</v>
      </c>
      <c r="B941" t="s">
        <v>2062</v>
      </c>
      <c r="C941" t="s">
        <v>2063</v>
      </c>
      <c r="D941">
        <v>1</v>
      </c>
      <c r="E941" t="s">
        <v>1447</v>
      </c>
      <c r="F941" t="s">
        <v>1798</v>
      </c>
      <c r="G941" t="s">
        <v>1748</v>
      </c>
      <c r="H941" t="s">
        <v>2279</v>
      </c>
      <c r="I941">
        <v>16</v>
      </c>
      <c r="J941" t="s">
        <v>2279</v>
      </c>
      <c r="K941" t="s">
        <v>2279</v>
      </c>
      <c r="L941" t="s">
        <v>2279</v>
      </c>
      <c r="M941" t="s">
        <v>2279</v>
      </c>
      <c r="N941" t="s">
        <v>2279</v>
      </c>
      <c r="O941" s="190" t="str">
        <f>"["&amp;$C941&amp;"]["&amp;$D941&amp;"]["&amp;$F941&amp;"]"</f>
        <v>[S08_RenunciationSuspensionAllowances][1][NumberOfInstallations]</v>
      </c>
    </row>
    <row r="942" spans="1:15" x14ac:dyDescent="0.3">
      <c r="A942" t="s">
        <v>2277</v>
      </c>
      <c r="B942" t="s">
        <v>2062</v>
      </c>
      <c r="C942" t="s">
        <v>2063</v>
      </c>
      <c r="D942">
        <v>2</v>
      </c>
      <c r="E942" t="s">
        <v>1447</v>
      </c>
      <c r="F942" t="s">
        <v>1798</v>
      </c>
      <c r="G942" t="s">
        <v>1748</v>
      </c>
      <c r="H942" t="s">
        <v>2279</v>
      </c>
      <c r="I942">
        <v>0</v>
      </c>
      <c r="J942" t="s">
        <v>2279</v>
      </c>
      <c r="K942" t="s">
        <v>2279</v>
      </c>
      <c r="L942" t="s">
        <v>2279</v>
      </c>
      <c r="M942" t="s">
        <v>2279</v>
      </c>
      <c r="N942" t="s">
        <v>2279</v>
      </c>
      <c r="O942" s="190" t="str">
        <f>"["&amp;$C942&amp;"]["&amp;$D942&amp;"]["&amp;$F942&amp;"]"</f>
        <v>[S08_RenunciationSuspensionAllowances][2][NumberOfInstallations]</v>
      </c>
    </row>
    <row r="943" spans="1:15" x14ac:dyDescent="0.3">
      <c r="A943" t="s">
        <v>2277</v>
      </c>
      <c r="B943" t="s">
        <v>2062</v>
      </c>
      <c r="C943" t="s">
        <v>2063</v>
      </c>
      <c r="D943">
        <v>3</v>
      </c>
      <c r="E943" t="s">
        <v>1447</v>
      </c>
      <c r="F943" t="s">
        <v>1798</v>
      </c>
      <c r="G943" t="s">
        <v>1748</v>
      </c>
      <c r="H943" t="s">
        <v>2279</v>
      </c>
      <c r="I943">
        <v>0</v>
      </c>
      <c r="J943" t="s">
        <v>2279</v>
      </c>
      <c r="K943" t="s">
        <v>2279</v>
      </c>
      <c r="L943" t="s">
        <v>2279</v>
      </c>
      <c r="M943" t="s">
        <v>2279</v>
      </c>
      <c r="N943" t="s">
        <v>2279</v>
      </c>
      <c r="O943" s="190" t="str">
        <f>"["&amp;$C943&amp;"]["&amp;$D943&amp;"]["&amp;$F943&amp;"]"</f>
        <v>[S08_RenunciationSuspensionAllowances][3][NumberOfInstallations]</v>
      </c>
    </row>
    <row r="944" spans="1:15" x14ac:dyDescent="0.3">
      <c r="A944" t="s">
        <v>2277</v>
      </c>
      <c r="B944" t="s">
        <v>2064</v>
      </c>
      <c r="C944" t="s">
        <v>2065</v>
      </c>
      <c r="D944">
        <v>0</v>
      </c>
      <c r="E944" t="s">
        <v>1447</v>
      </c>
      <c r="F944" t="s">
        <v>2065</v>
      </c>
      <c r="G944" t="s">
        <v>1759</v>
      </c>
      <c r="H944" t="s">
        <v>2279</v>
      </c>
      <c r="I944" t="s">
        <v>2279</v>
      </c>
      <c r="J944" t="s">
        <v>2279</v>
      </c>
      <c r="K944" t="s">
        <v>2279</v>
      </c>
      <c r="L944" t="s">
        <v>1419</v>
      </c>
      <c r="M944" t="s">
        <v>2279</v>
      </c>
      <c r="N944" t="s">
        <v>2279</v>
      </c>
      <c r="O944" s="190" t="str">
        <f>"["&amp;$C944&amp;"]["&amp;$D944&amp;"]["&amp;$F944&amp;"]"</f>
        <v>[SubInstallationBenchmark61][0][SubInstallationBenchmark61]</v>
      </c>
    </row>
    <row r="945" spans="1:15" x14ac:dyDescent="0.3">
      <c r="A945" t="s">
        <v>2277</v>
      </c>
      <c r="B945" t="s">
        <v>2064</v>
      </c>
      <c r="C945" t="s">
        <v>2066</v>
      </c>
      <c r="D945">
        <v>1</v>
      </c>
      <c r="E945" t="s">
        <v>1447</v>
      </c>
      <c r="F945" t="s">
        <v>2067</v>
      </c>
      <c r="G945" t="s">
        <v>1748</v>
      </c>
      <c r="H945" t="s">
        <v>2279</v>
      </c>
      <c r="I945">
        <v>4</v>
      </c>
      <c r="J945" t="s">
        <v>2279</v>
      </c>
      <c r="K945" t="s">
        <v>2279</v>
      </c>
      <c r="L945" t="s">
        <v>2279</v>
      </c>
      <c r="M945" t="s">
        <v>2279</v>
      </c>
      <c r="N945" t="s">
        <v>2279</v>
      </c>
      <c r="O945" s="190" t="str">
        <f>"["&amp;$C945&amp;"]["&amp;$D945&amp;"]["&amp;$F945&amp;"]"</f>
        <v>[S08_SubInstallationBenchmark61Detail][1][FuelBenchmark]</v>
      </c>
    </row>
    <row r="946" spans="1:15" x14ac:dyDescent="0.3">
      <c r="A946" t="s">
        <v>2277</v>
      </c>
      <c r="B946" t="s">
        <v>2064</v>
      </c>
      <c r="C946" t="s">
        <v>2066</v>
      </c>
      <c r="D946">
        <v>1</v>
      </c>
      <c r="E946" t="s">
        <v>1447</v>
      </c>
      <c r="F946" t="s">
        <v>2068</v>
      </c>
      <c r="G946" t="s">
        <v>1748</v>
      </c>
      <c r="H946" t="s">
        <v>2279</v>
      </c>
      <c r="I946">
        <v>5</v>
      </c>
      <c r="J946" t="s">
        <v>2279</v>
      </c>
      <c r="K946" t="s">
        <v>2279</v>
      </c>
      <c r="L946" t="s">
        <v>2279</v>
      </c>
      <c r="M946" t="s">
        <v>2279</v>
      </c>
      <c r="N946" t="s">
        <v>2279</v>
      </c>
      <c r="O946" s="190" t="str">
        <f>"["&amp;$C946&amp;"]["&amp;$D946&amp;"]["&amp;$F946&amp;"]"</f>
        <v>[S08_SubInstallationBenchmark61Detail][1][HeatBenchmark]</v>
      </c>
    </row>
    <row r="947" spans="1:15" x14ac:dyDescent="0.3">
      <c r="A947" t="s">
        <v>2277</v>
      </c>
      <c r="B947" t="s">
        <v>2064</v>
      </c>
      <c r="C947" t="s">
        <v>2069</v>
      </c>
      <c r="D947">
        <v>0</v>
      </c>
      <c r="E947" t="s">
        <v>1447</v>
      </c>
      <c r="F947" t="s">
        <v>2069</v>
      </c>
      <c r="G947" t="s">
        <v>1759</v>
      </c>
      <c r="H947" t="s">
        <v>2279</v>
      </c>
      <c r="I947" t="s">
        <v>2279</v>
      </c>
      <c r="J947" t="s">
        <v>2279</v>
      </c>
      <c r="K947" t="s">
        <v>2279</v>
      </c>
      <c r="L947" t="s">
        <v>1419</v>
      </c>
      <c r="M947" t="s">
        <v>2279</v>
      </c>
      <c r="N947" t="s">
        <v>2279</v>
      </c>
      <c r="O947" s="190" t="str">
        <f>"["&amp;$C947&amp;"]["&amp;$D947&amp;"]["&amp;$F947&amp;"]"</f>
        <v>[SubInstallationBenchmark61Reject][0][SubInstallationBenchmark61Reject]</v>
      </c>
    </row>
    <row r="948" spans="1:15" x14ac:dyDescent="0.3">
      <c r="A948" t="s">
        <v>2277</v>
      </c>
      <c r="B948" t="s">
        <v>2064</v>
      </c>
      <c r="C948" t="s">
        <v>2070</v>
      </c>
      <c r="D948">
        <v>1</v>
      </c>
      <c r="E948" t="s">
        <v>1447</v>
      </c>
      <c r="F948" t="s">
        <v>2067</v>
      </c>
      <c r="G948" t="s">
        <v>1748</v>
      </c>
      <c r="H948" t="s">
        <v>2279</v>
      </c>
      <c r="I948">
        <v>1</v>
      </c>
      <c r="J948" t="s">
        <v>2279</v>
      </c>
      <c r="K948" t="s">
        <v>2279</v>
      </c>
      <c r="L948" t="s">
        <v>2279</v>
      </c>
      <c r="M948" t="s">
        <v>2279</v>
      </c>
      <c r="N948" t="s">
        <v>2279</v>
      </c>
      <c r="O948" s="190" t="str">
        <f>"["&amp;$C948&amp;"]["&amp;$D948&amp;"]["&amp;$F948&amp;"]"</f>
        <v>[S08_SubInstallationBenchmark61RejectDetail][1][FuelBenchmark]</v>
      </c>
    </row>
    <row r="949" spans="1:15" x14ac:dyDescent="0.3">
      <c r="A949" t="s">
        <v>2277</v>
      </c>
      <c r="B949" t="s">
        <v>2064</v>
      </c>
      <c r="C949" t="s">
        <v>2070</v>
      </c>
      <c r="D949">
        <v>1</v>
      </c>
      <c r="E949" t="s">
        <v>1447</v>
      </c>
      <c r="F949" t="s">
        <v>2068</v>
      </c>
      <c r="G949" t="s">
        <v>1748</v>
      </c>
      <c r="H949" t="s">
        <v>2279</v>
      </c>
      <c r="I949">
        <v>1</v>
      </c>
      <c r="J949" t="s">
        <v>2279</v>
      </c>
      <c r="K949" t="s">
        <v>2279</v>
      </c>
      <c r="L949" t="s">
        <v>2279</v>
      </c>
      <c r="M949" t="s">
        <v>2279</v>
      </c>
      <c r="N949" t="s">
        <v>2279</v>
      </c>
      <c r="O949" s="190" t="str">
        <f>"["&amp;$C949&amp;"]["&amp;$D949&amp;"]["&amp;$F949&amp;"]"</f>
        <v>[S08_SubInstallationBenchmark61RejectDetail][1][HeatBenchmark]</v>
      </c>
    </row>
    <row r="950" spans="1:15" x14ac:dyDescent="0.3">
      <c r="A950" t="s">
        <v>2277</v>
      </c>
      <c r="B950" t="s">
        <v>2064</v>
      </c>
      <c r="C950" t="s">
        <v>2071</v>
      </c>
      <c r="D950">
        <v>0</v>
      </c>
      <c r="E950" t="s">
        <v>1447</v>
      </c>
      <c r="F950" t="s">
        <v>2071</v>
      </c>
      <c r="G950" t="s">
        <v>1759</v>
      </c>
      <c r="H950" t="s">
        <v>2279</v>
      </c>
      <c r="I950" t="s">
        <v>2279</v>
      </c>
      <c r="J950" t="s">
        <v>2279</v>
      </c>
      <c r="K950" t="s">
        <v>2279</v>
      </c>
      <c r="L950" t="s">
        <v>1419</v>
      </c>
      <c r="M950" t="s">
        <v>2279</v>
      </c>
      <c r="N950" t="s">
        <v>2279</v>
      </c>
      <c r="O950" s="190" t="str">
        <f>"["&amp;$C950&amp;"]["&amp;$D950&amp;"]["&amp;$F950&amp;"]"</f>
        <v>[SubInstallationBenchmark62][0][SubInstallationBenchmark62]</v>
      </c>
    </row>
    <row r="951" spans="1:15" x14ac:dyDescent="0.3">
      <c r="A951" t="s">
        <v>2277</v>
      </c>
      <c r="B951" t="s">
        <v>2064</v>
      </c>
      <c r="C951" t="s">
        <v>2072</v>
      </c>
      <c r="D951">
        <v>1</v>
      </c>
      <c r="E951" t="s">
        <v>1447</v>
      </c>
      <c r="F951" t="s">
        <v>2067</v>
      </c>
      <c r="G951" t="s">
        <v>1748</v>
      </c>
      <c r="H951" t="s">
        <v>2279</v>
      </c>
      <c r="I951">
        <v>1</v>
      </c>
      <c r="J951" t="s">
        <v>2279</v>
      </c>
      <c r="K951" t="s">
        <v>2279</v>
      </c>
      <c r="L951" t="s">
        <v>2279</v>
      </c>
      <c r="M951" t="s">
        <v>2279</v>
      </c>
      <c r="N951" t="s">
        <v>2279</v>
      </c>
      <c r="O951" s="190" t="str">
        <f>"["&amp;$C951&amp;"]["&amp;$D951&amp;"]["&amp;$F951&amp;"]"</f>
        <v>[S08_SubInstallationBenchmark62Detail][1][FuelBenchmark]</v>
      </c>
    </row>
    <row r="952" spans="1:15" x14ac:dyDescent="0.3">
      <c r="A952" t="s">
        <v>2277</v>
      </c>
      <c r="B952" t="s">
        <v>2064</v>
      </c>
      <c r="C952" t="s">
        <v>2072</v>
      </c>
      <c r="D952">
        <v>1</v>
      </c>
      <c r="E952" t="s">
        <v>1447</v>
      </c>
      <c r="F952" t="s">
        <v>2068</v>
      </c>
      <c r="G952" t="s">
        <v>1748</v>
      </c>
      <c r="H952" t="s">
        <v>2279</v>
      </c>
      <c r="I952">
        <v>0</v>
      </c>
      <c r="J952" t="s">
        <v>2279</v>
      </c>
      <c r="K952" t="s">
        <v>2279</v>
      </c>
      <c r="L952" t="s">
        <v>2279</v>
      </c>
      <c r="M952" t="s">
        <v>2279</v>
      </c>
      <c r="N952" t="s">
        <v>2279</v>
      </c>
      <c r="O952" s="190" t="str">
        <f>"["&amp;$C952&amp;"]["&amp;$D952&amp;"]["&amp;$F952&amp;"]"</f>
        <v>[S08_SubInstallationBenchmark62Detail][1][HeatBenchmark]</v>
      </c>
    </row>
    <row r="953" spans="1:15" x14ac:dyDescent="0.3">
      <c r="A953" t="s">
        <v>2277</v>
      </c>
      <c r="B953" t="s">
        <v>2073</v>
      </c>
      <c r="C953" t="s">
        <v>2074</v>
      </c>
      <c r="D953">
        <v>1</v>
      </c>
      <c r="E953" t="s">
        <v>1447</v>
      </c>
      <c r="F953" t="s">
        <v>1798</v>
      </c>
      <c r="G953" t="s">
        <v>1748</v>
      </c>
      <c r="H953" t="s">
        <v>2279</v>
      </c>
      <c r="I953">
        <v>1</v>
      </c>
      <c r="J953" t="s">
        <v>2279</v>
      </c>
      <c r="K953" t="s">
        <v>2279</v>
      </c>
      <c r="L953" t="s">
        <v>2279</v>
      </c>
      <c r="M953" t="s">
        <v>2279</v>
      </c>
      <c r="N953" t="s">
        <v>2279</v>
      </c>
      <c r="O953" s="190" t="str">
        <f>"["&amp;$C953&amp;"]["&amp;$D953&amp;"]["&amp;$F953&amp;"]"</f>
        <v>[S08_ScopeExclusion][1][NumberOfInstallations]</v>
      </c>
    </row>
    <row r="954" spans="1:15" x14ac:dyDescent="0.3">
      <c r="A954" t="s">
        <v>2277</v>
      </c>
      <c r="B954" t="s">
        <v>2073</v>
      </c>
      <c r="C954" t="s">
        <v>2074</v>
      </c>
      <c r="D954">
        <v>2</v>
      </c>
      <c r="E954" t="s">
        <v>1447</v>
      </c>
      <c r="F954" t="s">
        <v>1798</v>
      </c>
      <c r="G954" t="s">
        <v>1748</v>
      </c>
      <c r="H954" t="s">
        <v>2279</v>
      </c>
      <c r="I954">
        <v>9</v>
      </c>
      <c r="J954" t="s">
        <v>2279</v>
      </c>
      <c r="K954" t="s">
        <v>2279</v>
      </c>
      <c r="L954" t="s">
        <v>2279</v>
      </c>
      <c r="M954" t="s">
        <v>2279</v>
      </c>
      <c r="N954" t="s">
        <v>2279</v>
      </c>
      <c r="O954" s="190" t="str">
        <f>"["&amp;$C954&amp;"]["&amp;$D954&amp;"]["&amp;$F954&amp;"]"</f>
        <v>[S08_ScopeExclusion][2][NumberOfInstallations]</v>
      </c>
    </row>
    <row r="955" spans="1:15" x14ac:dyDescent="0.3">
      <c r="A955" t="s">
        <v>2277</v>
      </c>
      <c r="B955" t="s">
        <v>2073</v>
      </c>
      <c r="C955" t="s">
        <v>2074</v>
      </c>
      <c r="D955">
        <v>3</v>
      </c>
      <c r="E955" t="s">
        <v>1447</v>
      </c>
      <c r="F955" t="s">
        <v>1798</v>
      </c>
      <c r="G955" t="s">
        <v>1748</v>
      </c>
      <c r="H955" t="s">
        <v>2279</v>
      </c>
      <c r="I955">
        <v>0</v>
      </c>
      <c r="J955" t="s">
        <v>2279</v>
      </c>
      <c r="K955" t="s">
        <v>2279</v>
      </c>
      <c r="L955" t="s">
        <v>2279</v>
      </c>
      <c r="M955" t="s">
        <v>2279</v>
      </c>
      <c r="N955" t="s">
        <v>2279</v>
      </c>
      <c r="O955" s="190" t="str">
        <f>"["&amp;$C955&amp;"]["&amp;$D955&amp;"]["&amp;$F955&amp;"]"</f>
        <v>[S08_ScopeExclusion][3][NumberOfInstallations]</v>
      </c>
    </row>
    <row r="956" spans="1:15" x14ac:dyDescent="0.3">
      <c r="A956" t="s">
        <v>2277</v>
      </c>
      <c r="B956" t="s">
        <v>2073</v>
      </c>
      <c r="C956" t="s">
        <v>2074</v>
      </c>
      <c r="D956">
        <v>4</v>
      </c>
      <c r="E956" t="s">
        <v>1447</v>
      </c>
      <c r="F956" t="s">
        <v>1798</v>
      </c>
      <c r="G956" t="s">
        <v>1748</v>
      </c>
      <c r="H956" t="s">
        <v>2279</v>
      </c>
      <c r="I956">
        <v>0</v>
      </c>
      <c r="J956" t="s">
        <v>2279</v>
      </c>
      <c r="K956" t="s">
        <v>2279</v>
      </c>
      <c r="L956" t="s">
        <v>2279</v>
      </c>
      <c r="M956" t="s">
        <v>2279</v>
      </c>
      <c r="N956" t="s">
        <v>2279</v>
      </c>
      <c r="O956" s="190" t="str">
        <f>"["&amp;$C956&amp;"]["&amp;$D956&amp;"]["&amp;$F956&amp;"]"</f>
        <v>[S08_ScopeExclusion][4][NumberOfInstallations]</v>
      </c>
    </row>
    <row r="957" spans="1:15" x14ac:dyDescent="0.3">
      <c r="A957" t="s">
        <v>2277</v>
      </c>
      <c r="B957" t="s">
        <v>2073</v>
      </c>
      <c r="C957" t="s">
        <v>2074</v>
      </c>
      <c r="D957">
        <v>5</v>
      </c>
      <c r="E957" t="s">
        <v>1447</v>
      </c>
      <c r="F957" t="s">
        <v>1798</v>
      </c>
      <c r="G957" t="s">
        <v>1748</v>
      </c>
      <c r="H957" t="s">
        <v>2279</v>
      </c>
      <c r="I957">
        <v>0</v>
      </c>
      <c r="J957" t="s">
        <v>2279</v>
      </c>
      <c r="K957" t="s">
        <v>2279</v>
      </c>
      <c r="L957" t="s">
        <v>2279</v>
      </c>
      <c r="M957" t="s">
        <v>2279</v>
      </c>
      <c r="N957" t="s">
        <v>2279</v>
      </c>
      <c r="O957" s="190" t="str">
        <f>"["&amp;$C957&amp;"]["&amp;$D957&amp;"]["&amp;$F957&amp;"]"</f>
        <v>[S08_ScopeExclusion][5][NumberOfInstallations]</v>
      </c>
    </row>
    <row r="958" spans="1:15" x14ac:dyDescent="0.3">
      <c r="A958" t="s">
        <v>2277</v>
      </c>
      <c r="B958" t="s">
        <v>2076</v>
      </c>
      <c r="C958" t="s">
        <v>2077</v>
      </c>
      <c r="D958">
        <v>0</v>
      </c>
      <c r="E958" t="s">
        <v>1447</v>
      </c>
      <c r="F958" t="s">
        <v>2077</v>
      </c>
      <c r="G958" t="s">
        <v>1759</v>
      </c>
      <c r="H958" t="s">
        <v>2279</v>
      </c>
      <c r="I958" t="s">
        <v>2279</v>
      </c>
      <c r="J958" t="s">
        <v>2279</v>
      </c>
      <c r="K958" t="s">
        <v>2279</v>
      </c>
      <c r="L958" t="s">
        <v>1447</v>
      </c>
      <c r="M958" t="s">
        <v>2279</v>
      </c>
      <c r="N958" t="s">
        <v>2279</v>
      </c>
      <c r="O958" s="190" t="str">
        <f>"["&amp;$C958&amp;"]["&amp;$D958&amp;"]["&amp;$F958&amp;"]"</f>
        <v>[Article10cApplied][0][Article10cApplied]</v>
      </c>
    </row>
    <row r="959" spans="1:15" x14ac:dyDescent="0.3">
      <c r="A959" t="s">
        <v>2277</v>
      </c>
      <c r="B959" t="s">
        <v>2086</v>
      </c>
      <c r="C959" t="s">
        <v>2087</v>
      </c>
      <c r="D959">
        <v>0</v>
      </c>
      <c r="E959" t="s">
        <v>1447</v>
      </c>
      <c r="F959" t="s">
        <v>2087</v>
      </c>
      <c r="G959" t="s">
        <v>1759</v>
      </c>
      <c r="H959" t="s">
        <v>2279</v>
      </c>
      <c r="I959" t="s">
        <v>2279</v>
      </c>
      <c r="J959" t="s">
        <v>2279</v>
      </c>
      <c r="K959" t="s">
        <v>2279</v>
      </c>
      <c r="L959" t="s">
        <v>1419</v>
      </c>
      <c r="M959" t="s">
        <v>2279</v>
      </c>
      <c r="N959" t="s">
        <v>2279</v>
      </c>
      <c r="O959" s="190" t="str">
        <f>"["&amp;$C959&amp;"]["&amp;$D959&amp;"]["&amp;$F959&amp;"]"</f>
        <v>[AdditionalParametersRequired][0][AdditionalParametersRequired]</v>
      </c>
    </row>
    <row r="960" spans="1:15" x14ac:dyDescent="0.3">
      <c r="A960" t="s">
        <v>2277</v>
      </c>
      <c r="B960" t="s">
        <v>2086</v>
      </c>
      <c r="C960" t="s">
        <v>2088</v>
      </c>
      <c r="D960">
        <v>0</v>
      </c>
      <c r="E960" t="s">
        <v>1447</v>
      </c>
      <c r="F960" t="s">
        <v>2088</v>
      </c>
      <c r="G960" t="s">
        <v>1741</v>
      </c>
      <c r="H960" t="s">
        <v>2385</v>
      </c>
      <c r="I960" t="s">
        <v>2279</v>
      </c>
      <c r="J960" t="s">
        <v>2279</v>
      </c>
      <c r="K960" t="s">
        <v>2279</v>
      </c>
      <c r="L960" t="s">
        <v>2279</v>
      </c>
      <c r="M960" t="s">
        <v>2279</v>
      </c>
      <c r="N960" t="s">
        <v>2279</v>
      </c>
      <c r="O960" s="190" t="str">
        <f>"["&amp;$C960&amp;"]["&amp;$D960&amp;"]["&amp;$F960&amp;"]"</f>
        <v>[AdditionalParametersType][0][AdditionalParametersType]</v>
      </c>
    </row>
    <row r="961" spans="1:15" x14ac:dyDescent="0.3">
      <c r="A961" t="s">
        <v>2277</v>
      </c>
      <c r="B961" t="s">
        <v>2089</v>
      </c>
      <c r="C961" t="s">
        <v>2090</v>
      </c>
      <c r="D961">
        <v>0</v>
      </c>
      <c r="E961" t="s">
        <v>1447</v>
      </c>
      <c r="F961" t="s">
        <v>2090</v>
      </c>
      <c r="G961" t="s">
        <v>1759</v>
      </c>
      <c r="H961" t="s">
        <v>2279</v>
      </c>
      <c r="I961" t="s">
        <v>2279</v>
      </c>
      <c r="J961" t="s">
        <v>2279</v>
      </c>
      <c r="K961" t="s">
        <v>2279</v>
      </c>
      <c r="L961" t="s">
        <v>1447</v>
      </c>
      <c r="M961" t="s">
        <v>2279</v>
      </c>
      <c r="N961" t="s">
        <v>2279</v>
      </c>
      <c r="O961" s="190" t="str">
        <f>"["&amp;$C961&amp;"]["&amp;$D961&amp;"]["&amp;$F961&amp;"]"</f>
        <v>[PreliminaryActivityRequired][0][PreliminaryActivityRequired]</v>
      </c>
    </row>
    <row r="962" spans="1:15" x14ac:dyDescent="0.3">
      <c r="A962" t="s">
        <v>2277</v>
      </c>
      <c r="B962" t="s">
        <v>2092</v>
      </c>
      <c r="C962" t="s">
        <v>2093</v>
      </c>
      <c r="D962">
        <v>1</v>
      </c>
      <c r="E962" t="s">
        <v>1447</v>
      </c>
      <c r="F962" t="s">
        <v>1798</v>
      </c>
      <c r="G962" t="s">
        <v>1748</v>
      </c>
      <c r="H962" t="s">
        <v>2279</v>
      </c>
      <c r="I962">
        <v>1</v>
      </c>
      <c r="J962" t="s">
        <v>2279</v>
      </c>
      <c r="K962" t="s">
        <v>2279</v>
      </c>
      <c r="L962" t="s">
        <v>2279</v>
      </c>
      <c r="M962" t="s">
        <v>2279</v>
      </c>
      <c r="N962" t="s">
        <v>2279</v>
      </c>
      <c r="O962" s="190" t="str">
        <f>"["&amp;$C962&amp;"]["&amp;$D962&amp;"]["&amp;$F962&amp;"]"</f>
        <v>[S08_NegativeOpinionActivityData][1][NumberOfInstallations]</v>
      </c>
    </row>
    <row r="963" spans="1:15" x14ac:dyDescent="0.3">
      <c r="A963" t="s">
        <v>2277</v>
      </c>
      <c r="B963" t="s">
        <v>2092</v>
      </c>
      <c r="C963" t="s">
        <v>2093</v>
      </c>
      <c r="D963">
        <v>2</v>
      </c>
      <c r="E963" t="s">
        <v>1447</v>
      </c>
      <c r="F963" t="s">
        <v>1798</v>
      </c>
      <c r="G963" t="s">
        <v>1748</v>
      </c>
      <c r="H963" t="s">
        <v>2279</v>
      </c>
      <c r="I963">
        <v>0</v>
      </c>
      <c r="J963" t="s">
        <v>2279</v>
      </c>
      <c r="K963" t="s">
        <v>2279</v>
      </c>
      <c r="L963" t="s">
        <v>2279</v>
      </c>
      <c r="M963" t="s">
        <v>2279</v>
      </c>
      <c r="N963" t="s">
        <v>2279</v>
      </c>
      <c r="O963" s="190" t="str">
        <f>"["&amp;$C963&amp;"]["&amp;$D963&amp;"]["&amp;$F963&amp;"]"</f>
        <v>[S08_NegativeOpinionActivityData][2][NumberOfInstallations]</v>
      </c>
    </row>
    <row r="964" spans="1:15" x14ac:dyDescent="0.3">
      <c r="A964" t="s">
        <v>2277</v>
      </c>
      <c r="B964" t="s">
        <v>2092</v>
      </c>
      <c r="C964" t="s">
        <v>2093</v>
      </c>
      <c r="D964">
        <v>3</v>
      </c>
      <c r="E964" t="s">
        <v>1447</v>
      </c>
      <c r="F964" t="s">
        <v>1798</v>
      </c>
      <c r="G964" t="s">
        <v>1748</v>
      </c>
      <c r="H964" t="s">
        <v>2279</v>
      </c>
      <c r="I964">
        <v>0</v>
      </c>
      <c r="J964" t="s">
        <v>2279</v>
      </c>
      <c r="K964" t="s">
        <v>2279</v>
      </c>
      <c r="L964" t="s">
        <v>2279</v>
      </c>
      <c r="M964" t="s">
        <v>2279</v>
      </c>
      <c r="N964" t="s">
        <v>2279</v>
      </c>
      <c r="O964" s="190" t="str">
        <f>"["&amp;$C964&amp;"]["&amp;$D964&amp;"]["&amp;$F964&amp;"]"</f>
        <v>[S08_NegativeOpinionActivityData][3][NumberOfInstallations]</v>
      </c>
    </row>
    <row r="965" spans="1:15" x14ac:dyDescent="0.3">
      <c r="A965" t="s">
        <v>2277</v>
      </c>
      <c r="B965" t="s">
        <v>2092</v>
      </c>
      <c r="C965" t="s">
        <v>2093</v>
      </c>
      <c r="D965">
        <v>4</v>
      </c>
      <c r="E965" t="s">
        <v>1447</v>
      </c>
      <c r="F965" t="s">
        <v>1798</v>
      </c>
      <c r="G965" t="s">
        <v>1748</v>
      </c>
      <c r="H965" t="s">
        <v>2279</v>
      </c>
      <c r="I965">
        <v>0</v>
      </c>
      <c r="J965" t="s">
        <v>2279</v>
      </c>
      <c r="K965" t="s">
        <v>2279</v>
      </c>
      <c r="L965" t="s">
        <v>2279</v>
      </c>
      <c r="M965" t="s">
        <v>2279</v>
      </c>
      <c r="N965" t="s">
        <v>2279</v>
      </c>
      <c r="O965" s="190" t="str">
        <f>"["&amp;$C965&amp;"]["&amp;$D965&amp;"]["&amp;$F965&amp;"]"</f>
        <v>[S08_NegativeOpinionActivityData][4][NumberOfInstallations]</v>
      </c>
    </row>
    <row r="966" spans="1:15" x14ac:dyDescent="0.3">
      <c r="A966" t="s">
        <v>2277</v>
      </c>
      <c r="B966" t="s">
        <v>2092</v>
      </c>
      <c r="C966" t="s">
        <v>2093</v>
      </c>
      <c r="D966">
        <v>1</v>
      </c>
      <c r="E966" t="s">
        <v>1447</v>
      </c>
      <c r="F966" t="s">
        <v>2094</v>
      </c>
      <c r="G966" t="s">
        <v>1748</v>
      </c>
      <c r="H966" t="s">
        <v>2279</v>
      </c>
      <c r="I966">
        <v>0</v>
      </c>
      <c r="J966" t="s">
        <v>2279</v>
      </c>
      <c r="K966" t="s">
        <v>2279</v>
      </c>
      <c r="L966" t="s">
        <v>2279</v>
      </c>
      <c r="M966" t="s">
        <v>2279</v>
      </c>
      <c r="N966" t="s">
        <v>2279</v>
      </c>
      <c r="O966" s="190" t="str">
        <f>"["&amp;$C966&amp;"]["&amp;$D966&amp;"]["&amp;$F966&amp;"]"</f>
        <v>[S08_NegativeOpinionActivityData][1][NumberOfInstallationsConEst]</v>
      </c>
    </row>
    <row r="967" spans="1:15" x14ac:dyDescent="0.3">
      <c r="A967" t="s">
        <v>2277</v>
      </c>
      <c r="B967" t="s">
        <v>2092</v>
      </c>
      <c r="C967" t="s">
        <v>2093</v>
      </c>
      <c r="D967">
        <v>2</v>
      </c>
      <c r="E967" t="s">
        <v>1447</v>
      </c>
      <c r="F967" t="s">
        <v>2094</v>
      </c>
      <c r="G967" t="s">
        <v>1748</v>
      </c>
      <c r="H967" t="s">
        <v>2279</v>
      </c>
      <c r="I967">
        <v>0</v>
      </c>
      <c r="J967" t="s">
        <v>2279</v>
      </c>
      <c r="K967" t="s">
        <v>2279</v>
      </c>
      <c r="L967" t="s">
        <v>2279</v>
      </c>
      <c r="M967" t="s">
        <v>2279</v>
      </c>
      <c r="N967" t="s">
        <v>2279</v>
      </c>
      <c r="O967" s="190" t="str">
        <f>"["&amp;$C967&amp;"]["&amp;$D967&amp;"]["&amp;$F967&amp;"]"</f>
        <v>[S08_NegativeOpinionActivityData][2][NumberOfInstallationsConEst]</v>
      </c>
    </row>
    <row r="968" spans="1:15" x14ac:dyDescent="0.3">
      <c r="A968" t="s">
        <v>2277</v>
      </c>
      <c r="B968" t="s">
        <v>2092</v>
      </c>
      <c r="C968" t="s">
        <v>2093</v>
      </c>
      <c r="D968">
        <v>3</v>
      </c>
      <c r="E968" t="s">
        <v>1447</v>
      </c>
      <c r="F968" t="s">
        <v>2094</v>
      </c>
      <c r="G968" t="s">
        <v>1748</v>
      </c>
      <c r="H968" t="s">
        <v>2279</v>
      </c>
      <c r="I968">
        <v>0</v>
      </c>
      <c r="J968" t="s">
        <v>2279</v>
      </c>
      <c r="K968" t="s">
        <v>2279</v>
      </c>
      <c r="L968" t="s">
        <v>2279</v>
      </c>
      <c r="M968" t="s">
        <v>2279</v>
      </c>
      <c r="N968" t="s">
        <v>2279</v>
      </c>
      <c r="O968" s="190" t="str">
        <f>"["&amp;$C968&amp;"]["&amp;$D968&amp;"]["&amp;$F968&amp;"]"</f>
        <v>[S08_NegativeOpinionActivityData][3][NumberOfInstallationsConEst]</v>
      </c>
    </row>
    <row r="969" spans="1:15" x14ac:dyDescent="0.3">
      <c r="A969" t="s">
        <v>2277</v>
      </c>
      <c r="B969" t="s">
        <v>2092</v>
      </c>
      <c r="C969" t="s">
        <v>2093</v>
      </c>
      <c r="D969">
        <v>4</v>
      </c>
      <c r="E969" t="s">
        <v>1447</v>
      </c>
      <c r="F969" t="s">
        <v>2094</v>
      </c>
      <c r="G969" t="s">
        <v>1748</v>
      </c>
      <c r="H969" t="s">
        <v>2279</v>
      </c>
      <c r="I969">
        <v>0</v>
      </c>
      <c r="J969" t="s">
        <v>2279</v>
      </c>
      <c r="K969" t="s">
        <v>2279</v>
      </c>
      <c r="L969" t="s">
        <v>2279</v>
      </c>
      <c r="M969" t="s">
        <v>2279</v>
      </c>
      <c r="N969" t="s">
        <v>2279</v>
      </c>
      <c r="O969" s="190" t="str">
        <f>"["&amp;$C969&amp;"]["&amp;$D969&amp;"]["&amp;$F969&amp;"]"</f>
        <v>[S08_NegativeOpinionActivityData][4][NumberOfInstallationsConEst]</v>
      </c>
    </row>
    <row r="970" spans="1:15" x14ac:dyDescent="0.3">
      <c r="A970" t="s">
        <v>2277</v>
      </c>
      <c r="B970" t="s">
        <v>2092</v>
      </c>
      <c r="C970" t="s">
        <v>2095</v>
      </c>
      <c r="D970">
        <v>0</v>
      </c>
      <c r="E970" t="s">
        <v>1447</v>
      </c>
      <c r="F970" t="s">
        <v>2095</v>
      </c>
      <c r="G970" t="s">
        <v>1759</v>
      </c>
      <c r="H970" t="s">
        <v>2279</v>
      </c>
      <c r="I970" t="s">
        <v>2279</v>
      </c>
      <c r="J970" t="s">
        <v>2279</v>
      </c>
      <c r="K970" t="s">
        <v>2279</v>
      </c>
      <c r="L970" t="s">
        <v>1419</v>
      </c>
      <c r="M970" t="s">
        <v>2279</v>
      </c>
      <c r="N970" t="s">
        <v>2279</v>
      </c>
      <c r="O970" s="190" t="str">
        <f>"["&amp;$C970&amp;"]["&amp;$D970&amp;"]["&amp;$F970&amp;"]"</f>
        <v>[ActivityDataIssues][0][ActivityDataIssues]</v>
      </c>
    </row>
    <row r="971" spans="1:15" x14ac:dyDescent="0.3">
      <c r="A971" t="s">
        <v>2277</v>
      </c>
      <c r="B971" t="s">
        <v>2096</v>
      </c>
      <c r="C971" t="s">
        <v>2097</v>
      </c>
      <c r="D971">
        <v>1</v>
      </c>
      <c r="E971" t="s">
        <v>1447</v>
      </c>
      <c r="F971" t="s">
        <v>1988</v>
      </c>
      <c r="G971" t="s">
        <v>1737</v>
      </c>
      <c r="H971" t="s">
        <v>2279</v>
      </c>
      <c r="I971" t="s">
        <v>2279</v>
      </c>
      <c r="J971" t="s">
        <v>2279</v>
      </c>
      <c r="K971" t="s">
        <v>2279</v>
      </c>
      <c r="L971" t="s">
        <v>1420</v>
      </c>
      <c r="M971" t="s">
        <v>2279</v>
      </c>
      <c r="N971" t="s">
        <v>2279</v>
      </c>
      <c r="O971" s="190" t="str">
        <f>"["&amp;$C971&amp;"]["&amp;$D971&amp;"]["&amp;$F971&amp;"]"</f>
        <v>[S08_ActivityDataIssuesDetail][1][AnnexIActivity]</v>
      </c>
    </row>
    <row r="972" spans="1:15" x14ac:dyDescent="0.3">
      <c r="A972" t="s">
        <v>2277</v>
      </c>
      <c r="B972" t="s">
        <v>2096</v>
      </c>
      <c r="C972" t="s">
        <v>2097</v>
      </c>
      <c r="D972">
        <v>2</v>
      </c>
      <c r="E972" t="s">
        <v>1447</v>
      </c>
      <c r="F972" t="s">
        <v>1988</v>
      </c>
      <c r="G972" t="s">
        <v>1737</v>
      </c>
      <c r="H972" t="s">
        <v>2279</v>
      </c>
      <c r="I972" t="s">
        <v>2279</v>
      </c>
      <c r="J972" t="s">
        <v>2279</v>
      </c>
      <c r="K972" t="s">
        <v>2279</v>
      </c>
      <c r="L972" t="s">
        <v>1420</v>
      </c>
      <c r="M972" t="s">
        <v>2279</v>
      </c>
      <c r="N972" t="s">
        <v>2279</v>
      </c>
      <c r="O972" s="190" t="str">
        <f>"["&amp;$C972&amp;"]["&amp;$D972&amp;"]["&amp;$F972&amp;"]"</f>
        <v>[S08_ActivityDataIssuesDetail][2][AnnexIActivity]</v>
      </c>
    </row>
    <row r="973" spans="1:15" x14ac:dyDescent="0.3">
      <c r="A973" t="s">
        <v>2277</v>
      </c>
      <c r="B973" t="s">
        <v>2096</v>
      </c>
      <c r="C973" t="s">
        <v>2097</v>
      </c>
      <c r="D973">
        <v>3</v>
      </c>
      <c r="E973" t="s">
        <v>1447</v>
      </c>
      <c r="F973" t="s">
        <v>1988</v>
      </c>
      <c r="G973" t="s">
        <v>1737</v>
      </c>
      <c r="H973" t="s">
        <v>2279</v>
      </c>
      <c r="I973" t="s">
        <v>2279</v>
      </c>
      <c r="J973" t="s">
        <v>2279</v>
      </c>
      <c r="K973" t="s">
        <v>2279</v>
      </c>
      <c r="L973" t="s">
        <v>1420</v>
      </c>
      <c r="M973" t="s">
        <v>2279</v>
      </c>
      <c r="N973" t="s">
        <v>2279</v>
      </c>
      <c r="O973" s="190" t="str">
        <f>"["&amp;$C973&amp;"]["&amp;$D973&amp;"]["&amp;$F973&amp;"]"</f>
        <v>[S08_ActivityDataIssuesDetail][3][AnnexIActivity]</v>
      </c>
    </row>
    <row r="974" spans="1:15" x14ac:dyDescent="0.3">
      <c r="A974" t="s">
        <v>2277</v>
      </c>
      <c r="B974" t="s">
        <v>2096</v>
      </c>
      <c r="C974" t="s">
        <v>2097</v>
      </c>
      <c r="D974">
        <v>4</v>
      </c>
      <c r="E974" t="s">
        <v>1447</v>
      </c>
      <c r="F974" t="s">
        <v>1988</v>
      </c>
      <c r="G974" t="s">
        <v>1737</v>
      </c>
      <c r="H974" t="s">
        <v>2279</v>
      </c>
      <c r="I974" t="s">
        <v>2279</v>
      </c>
      <c r="J974" t="s">
        <v>2279</v>
      </c>
      <c r="K974" t="s">
        <v>2279</v>
      </c>
      <c r="L974" t="s">
        <v>1420</v>
      </c>
      <c r="M974" t="s">
        <v>2279</v>
      </c>
      <c r="N974" t="s">
        <v>2279</v>
      </c>
      <c r="O974" s="190" t="str">
        <f>"["&amp;$C974&amp;"]["&amp;$D974&amp;"]["&amp;$F974&amp;"]"</f>
        <v>[S08_ActivityDataIssuesDetail][4][AnnexIActivity]</v>
      </c>
    </row>
    <row r="975" spans="1:15" x14ac:dyDescent="0.3">
      <c r="A975" t="s">
        <v>2277</v>
      </c>
      <c r="B975" t="s">
        <v>2096</v>
      </c>
      <c r="C975" t="s">
        <v>2097</v>
      </c>
      <c r="D975">
        <v>5</v>
      </c>
      <c r="E975" t="s">
        <v>1447</v>
      </c>
      <c r="F975" t="s">
        <v>1988</v>
      </c>
      <c r="G975" t="s">
        <v>1737</v>
      </c>
      <c r="H975" t="s">
        <v>2279</v>
      </c>
      <c r="I975" t="s">
        <v>2279</v>
      </c>
      <c r="J975" t="s">
        <v>2279</v>
      </c>
      <c r="K975" t="s">
        <v>2279</v>
      </c>
      <c r="L975" t="s">
        <v>1587</v>
      </c>
      <c r="M975" t="s">
        <v>2279</v>
      </c>
      <c r="N975" t="s">
        <v>2279</v>
      </c>
      <c r="O975" s="190" t="str">
        <f>"["&amp;$C975&amp;"]["&amp;$D975&amp;"]["&amp;$F975&amp;"]"</f>
        <v>[S08_ActivityDataIssuesDetail][5][AnnexIActivity]</v>
      </c>
    </row>
    <row r="976" spans="1:15" x14ac:dyDescent="0.3">
      <c r="A976" t="s">
        <v>2277</v>
      </c>
      <c r="B976" t="s">
        <v>2096</v>
      </c>
      <c r="C976" t="s">
        <v>2097</v>
      </c>
      <c r="D976">
        <v>6</v>
      </c>
      <c r="E976" t="s">
        <v>1447</v>
      </c>
      <c r="F976" t="s">
        <v>1988</v>
      </c>
      <c r="G976" t="s">
        <v>1737</v>
      </c>
      <c r="H976" t="s">
        <v>2279</v>
      </c>
      <c r="I976" t="s">
        <v>2279</v>
      </c>
      <c r="J976" t="s">
        <v>2279</v>
      </c>
      <c r="K976" t="s">
        <v>2279</v>
      </c>
      <c r="L976" t="s">
        <v>1577</v>
      </c>
      <c r="M976" t="s">
        <v>2279</v>
      </c>
      <c r="N976" t="s">
        <v>2279</v>
      </c>
      <c r="O976" s="190" t="str">
        <f>"["&amp;$C976&amp;"]["&amp;$D976&amp;"]["&amp;$F976&amp;"]"</f>
        <v>[S08_ActivityDataIssuesDetail][6][AnnexIActivity]</v>
      </c>
    </row>
    <row r="977" spans="1:15" x14ac:dyDescent="0.3">
      <c r="A977" t="s">
        <v>2277</v>
      </c>
      <c r="B977" t="s">
        <v>2096</v>
      </c>
      <c r="C977" t="s">
        <v>2097</v>
      </c>
      <c r="D977">
        <v>7</v>
      </c>
      <c r="E977" t="s">
        <v>1447</v>
      </c>
      <c r="F977" t="s">
        <v>1988</v>
      </c>
      <c r="G977" t="s">
        <v>1737</v>
      </c>
      <c r="H977" t="s">
        <v>2279</v>
      </c>
      <c r="I977" t="s">
        <v>2279</v>
      </c>
      <c r="J977" t="s">
        <v>2279</v>
      </c>
      <c r="K977" t="s">
        <v>2279</v>
      </c>
      <c r="L977" t="s">
        <v>1577</v>
      </c>
      <c r="M977" t="s">
        <v>2279</v>
      </c>
      <c r="N977" t="s">
        <v>2279</v>
      </c>
      <c r="O977" s="190" t="str">
        <f>"["&amp;$C977&amp;"]["&amp;$D977&amp;"]["&amp;$F977&amp;"]"</f>
        <v>[S08_ActivityDataIssuesDetail][7][AnnexIActivity]</v>
      </c>
    </row>
    <row r="978" spans="1:15" x14ac:dyDescent="0.3">
      <c r="A978" t="s">
        <v>2277</v>
      </c>
      <c r="B978" t="s">
        <v>2096</v>
      </c>
      <c r="C978" t="s">
        <v>2097</v>
      </c>
      <c r="D978">
        <v>1</v>
      </c>
      <c r="E978" t="s">
        <v>1447</v>
      </c>
      <c r="F978" t="s">
        <v>1989</v>
      </c>
      <c r="G978" t="s">
        <v>1737</v>
      </c>
      <c r="H978" t="s">
        <v>2279</v>
      </c>
      <c r="I978" t="s">
        <v>2279</v>
      </c>
      <c r="J978" t="s">
        <v>2279</v>
      </c>
      <c r="K978" t="s">
        <v>2279</v>
      </c>
      <c r="L978" t="s">
        <v>1439</v>
      </c>
      <c r="M978" t="s">
        <v>2279</v>
      </c>
      <c r="N978" t="s">
        <v>2279</v>
      </c>
      <c r="O978" s="190" t="str">
        <f>"["&amp;$C978&amp;"]["&amp;$D978&amp;"]["&amp;$F978&amp;"]"</f>
        <v>[S08_ActivityDataIssuesDetail][1][TypeOfIssue]</v>
      </c>
    </row>
    <row r="979" spans="1:15" x14ac:dyDescent="0.3">
      <c r="A979" t="s">
        <v>2277</v>
      </c>
      <c r="B979" t="s">
        <v>2096</v>
      </c>
      <c r="C979" t="s">
        <v>2097</v>
      </c>
      <c r="D979">
        <v>2</v>
      </c>
      <c r="E979" t="s">
        <v>1447</v>
      </c>
      <c r="F979" t="s">
        <v>1989</v>
      </c>
      <c r="G979" t="s">
        <v>1737</v>
      </c>
      <c r="H979" t="s">
        <v>2279</v>
      </c>
      <c r="I979" t="s">
        <v>2279</v>
      </c>
      <c r="J979" t="s">
        <v>2279</v>
      </c>
      <c r="K979" t="s">
        <v>2279</v>
      </c>
      <c r="L979" t="s">
        <v>1497</v>
      </c>
      <c r="M979" t="s">
        <v>2279</v>
      </c>
      <c r="N979" t="s">
        <v>2279</v>
      </c>
      <c r="O979" s="190" t="str">
        <f>"["&amp;$C979&amp;"]["&amp;$D979&amp;"]["&amp;$F979&amp;"]"</f>
        <v>[S08_ActivityDataIssuesDetail][2][TypeOfIssue]</v>
      </c>
    </row>
    <row r="980" spans="1:15" x14ac:dyDescent="0.3">
      <c r="A980" t="s">
        <v>2277</v>
      </c>
      <c r="B980" t="s">
        <v>2096</v>
      </c>
      <c r="C980" t="s">
        <v>2097</v>
      </c>
      <c r="D980">
        <v>3</v>
      </c>
      <c r="E980" t="s">
        <v>1447</v>
      </c>
      <c r="F980" t="s">
        <v>1989</v>
      </c>
      <c r="G980" t="s">
        <v>1737</v>
      </c>
      <c r="H980" t="s">
        <v>2279</v>
      </c>
      <c r="I980" t="s">
        <v>2279</v>
      </c>
      <c r="J980" t="s">
        <v>2279</v>
      </c>
      <c r="K980" t="s">
        <v>2279</v>
      </c>
      <c r="L980" t="s">
        <v>1467</v>
      </c>
      <c r="M980" t="s">
        <v>2279</v>
      </c>
      <c r="N980" t="s">
        <v>2279</v>
      </c>
      <c r="O980" s="190" t="str">
        <f>"["&amp;$C980&amp;"]["&amp;$D980&amp;"]["&amp;$F980&amp;"]"</f>
        <v>[S08_ActivityDataIssuesDetail][3][TypeOfIssue]</v>
      </c>
    </row>
    <row r="981" spans="1:15" x14ac:dyDescent="0.3">
      <c r="A981" t="s">
        <v>2277</v>
      </c>
      <c r="B981" t="s">
        <v>2096</v>
      </c>
      <c r="C981" t="s">
        <v>2097</v>
      </c>
      <c r="D981">
        <v>4</v>
      </c>
      <c r="E981" t="s">
        <v>1447</v>
      </c>
      <c r="F981" t="s">
        <v>1989</v>
      </c>
      <c r="G981" t="s">
        <v>1737</v>
      </c>
      <c r="H981" t="s">
        <v>2279</v>
      </c>
      <c r="I981" t="s">
        <v>2279</v>
      </c>
      <c r="J981" t="s">
        <v>2279</v>
      </c>
      <c r="K981" t="s">
        <v>2279</v>
      </c>
      <c r="L981" t="s">
        <v>1512</v>
      </c>
      <c r="M981" t="s">
        <v>2279</v>
      </c>
      <c r="N981" t="s">
        <v>2279</v>
      </c>
      <c r="O981" s="190" t="str">
        <f>"["&amp;$C981&amp;"]["&amp;$D981&amp;"]["&amp;$F981&amp;"]"</f>
        <v>[S08_ActivityDataIssuesDetail][4][TypeOfIssue]</v>
      </c>
    </row>
    <row r="982" spans="1:15" x14ac:dyDescent="0.3">
      <c r="A982" t="s">
        <v>2277</v>
      </c>
      <c r="B982" t="s">
        <v>2096</v>
      </c>
      <c r="C982" t="s">
        <v>2097</v>
      </c>
      <c r="D982">
        <v>5</v>
      </c>
      <c r="E982" t="s">
        <v>1447</v>
      </c>
      <c r="F982" t="s">
        <v>1989</v>
      </c>
      <c r="G982" t="s">
        <v>1737</v>
      </c>
      <c r="H982" t="s">
        <v>2279</v>
      </c>
      <c r="I982" t="s">
        <v>2279</v>
      </c>
      <c r="J982" t="s">
        <v>2279</v>
      </c>
      <c r="K982" t="s">
        <v>2279</v>
      </c>
      <c r="L982" t="s">
        <v>1512</v>
      </c>
      <c r="M982" t="s">
        <v>2279</v>
      </c>
      <c r="N982" t="s">
        <v>2279</v>
      </c>
      <c r="O982" s="190" t="str">
        <f>"["&amp;$C982&amp;"]["&amp;$D982&amp;"]["&amp;$F982&amp;"]"</f>
        <v>[S08_ActivityDataIssuesDetail][5][TypeOfIssue]</v>
      </c>
    </row>
    <row r="983" spans="1:15" x14ac:dyDescent="0.3">
      <c r="A983" t="s">
        <v>2277</v>
      </c>
      <c r="B983" t="s">
        <v>2096</v>
      </c>
      <c r="C983" t="s">
        <v>2097</v>
      </c>
      <c r="D983">
        <v>6</v>
      </c>
      <c r="E983" t="s">
        <v>1447</v>
      </c>
      <c r="F983" t="s">
        <v>1989</v>
      </c>
      <c r="G983" t="s">
        <v>1737</v>
      </c>
      <c r="H983" t="s">
        <v>2279</v>
      </c>
      <c r="I983" t="s">
        <v>2279</v>
      </c>
      <c r="J983" t="s">
        <v>2279</v>
      </c>
      <c r="K983" t="s">
        <v>2279</v>
      </c>
      <c r="L983" t="s">
        <v>1497</v>
      </c>
      <c r="M983" t="s">
        <v>2279</v>
      </c>
      <c r="N983" t="s">
        <v>2279</v>
      </c>
      <c r="O983" s="190" t="str">
        <f>"["&amp;$C983&amp;"]["&amp;$D983&amp;"]["&amp;$F983&amp;"]"</f>
        <v>[S08_ActivityDataIssuesDetail][6][TypeOfIssue]</v>
      </c>
    </row>
    <row r="984" spans="1:15" x14ac:dyDescent="0.3">
      <c r="A984" t="s">
        <v>2277</v>
      </c>
      <c r="B984" t="s">
        <v>2096</v>
      </c>
      <c r="C984" t="s">
        <v>2097</v>
      </c>
      <c r="D984">
        <v>7</v>
      </c>
      <c r="E984" t="s">
        <v>1447</v>
      </c>
      <c r="F984" t="s">
        <v>1989</v>
      </c>
      <c r="G984" t="s">
        <v>1737</v>
      </c>
      <c r="H984" t="s">
        <v>2279</v>
      </c>
      <c r="I984" t="s">
        <v>2279</v>
      </c>
      <c r="J984" t="s">
        <v>2279</v>
      </c>
      <c r="K984" t="s">
        <v>2279</v>
      </c>
      <c r="L984" t="s">
        <v>1467</v>
      </c>
      <c r="M984" t="s">
        <v>2279</v>
      </c>
      <c r="N984" t="s">
        <v>2279</v>
      </c>
      <c r="O984" s="190" t="str">
        <f>"["&amp;$C984&amp;"]["&amp;$D984&amp;"]["&amp;$F984&amp;"]"</f>
        <v>[S08_ActivityDataIssuesDetail][7][TypeOfIssue]</v>
      </c>
    </row>
    <row r="985" spans="1:15" x14ac:dyDescent="0.3">
      <c r="A985" t="s">
        <v>2277</v>
      </c>
      <c r="B985" t="s">
        <v>2096</v>
      </c>
      <c r="C985" t="s">
        <v>2097</v>
      </c>
      <c r="D985">
        <v>1</v>
      </c>
      <c r="E985" t="s">
        <v>1447</v>
      </c>
      <c r="F985" t="s">
        <v>1798</v>
      </c>
      <c r="G985" t="s">
        <v>1748</v>
      </c>
      <c r="H985" t="s">
        <v>2279</v>
      </c>
      <c r="I985">
        <v>3</v>
      </c>
      <c r="J985" t="s">
        <v>2279</v>
      </c>
      <c r="K985" t="s">
        <v>2279</v>
      </c>
      <c r="L985" t="s">
        <v>2279</v>
      </c>
      <c r="M985" t="s">
        <v>2279</v>
      </c>
      <c r="N985" t="s">
        <v>2279</v>
      </c>
      <c r="O985" s="190" t="str">
        <f>"["&amp;$C985&amp;"]["&amp;$D985&amp;"]["&amp;$F985&amp;"]"</f>
        <v>[S08_ActivityDataIssuesDetail][1][NumberOfInstallations]</v>
      </c>
    </row>
    <row r="986" spans="1:15" x14ac:dyDescent="0.3">
      <c r="A986" t="s">
        <v>2277</v>
      </c>
      <c r="B986" t="s">
        <v>2096</v>
      </c>
      <c r="C986" t="s">
        <v>2097</v>
      </c>
      <c r="D986">
        <v>2</v>
      </c>
      <c r="E986" t="s">
        <v>1447</v>
      </c>
      <c r="F986" t="s">
        <v>1798</v>
      </c>
      <c r="G986" t="s">
        <v>1748</v>
      </c>
      <c r="H986" t="s">
        <v>2279</v>
      </c>
      <c r="I986">
        <v>30</v>
      </c>
      <c r="J986" t="s">
        <v>2279</v>
      </c>
      <c r="K986" t="s">
        <v>2279</v>
      </c>
      <c r="L986" t="s">
        <v>2279</v>
      </c>
      <c r="M986" t="s">
        <v>2279</v>
      </c>
      <c r="N986" t="s">
        <v>2279</v>
      </c>
      <c r="O986" s="190" t="str">
        <f>"["&amp;$C986&amp;"]["&amp;$D986&amp;"]["&amp;$F986&amp;"]"</f>
        <v>[S08_ActivityDataIssuesDetail][2][NumberOfInstallations]</v>
      </c>
    </row>
    <row r="987" spans="1:15" x14ac:dyDescent="0.3">
      <c r="A987" t="s">
        <v>2277</v>
      </c>
      <c r="B987" t="s">
        <v>2096</v>
      </c>
      <c r="C987" t="s">
        <v>2097</v>
      </c>
      <c r="D987">
        <v>3</v>
      </c>
      <c r="E987" t="s">
        <v>1447</v>
      </c>
      <c r="F987" t="s">
        <v>1798</v>
      </c>
      <c r="G987" t="s">
        <v>1748</v>
      </c>
      <c r="H987" t="s">
        <v>2279</v>
      </c>
      <c r="I987">
        <v>7</v>
      </c>
      <c r="J987" t="s">
        <v>2279</v>
      </c>
      <c r="K987" t="s">
        <v>2279</v>
      </c>
      <c r="L987" t="s">
        <v>2279</v>
      </c>
      <c r="M987" t="s">
        <v>2279</v>
      </c>
      <c r="N987" t="s">
        <v>2279</v>
      </c>
      <c r="O987" s="190" t="str">
        <f>"["&amp;$C987&amp;"]["&amp;$D987&amp;"]["&amp;$F987&amp;"]"</f>
        <v>[S08_ActivityDataIssuesDetail][3][NumberOfInstallations]</v>
      </c>
    </row>
    <row r="988" spans="1:15" x14ac:dyDescent="0.3">
      <c r="A988" t="s">
        <v>2277</v>
      </c>
      <c r="B988" t="s">
        <v>2096</v>
      </c>
      <c r="C988" t="s">
        <v>2097</v>
      </c>
      <c r="D988">
        <v>4</v>
      </c>
      <c r="E988" t="s">
        <v>1447</v>
      </c>
      <c r="F988" t="s">
        <v>1798</v>
      </c>
      <c r="G988" t="s">
        <v>1748</v>
      </c>
      <c r="H988" t="s">
        <v>2279</v>
      </c>
      <c r="I988">
        <v>33</v>
      </c>
      <c r="J988" t="s">
        <v>2279</v>
      </c>
      <c r="K988" t="s">
        <v>2279</v>
      </c>
      <c r="L988" t="s">
        <v>2279</v>
      </c>
      <c r="M988" t="s">
        <v>2279</v>
      </c>
      <c r="N988" t="s">
        <v>2279</v>
      </c>
      <c r="O988" s="190" t="str">
        <f>"["&amp;$C988&amp;"]["&amp;$D988&amp;"]["&amp;$F988&amp;"]"</f>
        <v>[S08_ActivityDataIssuesDetail][4][NumberOfInstallations]</v>
      </c>
    </row>
    <row r="989" spans="1:15" x14ac:dyDescent="0.3">
      <c r="A989" t="s">
        <v>2277</v>
      </c>
      <c r="B989" t="s">
        <v>2096</v>
      </c>
      <c r="C989" t="s">
        <v>2097</v>
      </c>
      <c r="D989">
        <v>5</v>
      </c>
      <c r="E989" t="s">
        <v>1447</v>
      </c>
      <c r="F989" t="s">
        <v>1798</v>
      </c>
      <c r="G989" t="s">
        <v>1748</v>
      </c>
      <c r="H989" t="s">
        <v>2279</v>
      </c>
      <c r="I989">
        <v>1</v>
      </c>
      <c r="J989" t="s">
        <v>2279</v>
      </c>
      <c r="K989" t="s">
        <v>2279</v>
      </c>
      <c r="L989" t="s">
        <v>2279</v>
      </c>
      <c r="M989" t="s">
        <v>2279</v>
      </c>
      <c r="N989" t="s">
        <v>2279</v>
      </c>
      <c r="O989" s="190" t="str">
        <f>"["&amp;$C989&amp;"]["&amp;$D989&amp;"]["&amp;$F989&amp;"]"</f>
        <v>[S08_ActivityDataIssuesDetail][5][NumberOfInstallations]</v>
      </c>
    </row>
    <row r="990" spans="1:15" x14ac:dyDescent="0.3">
      <c r="A990" t="s">
        <v>2277</v>
      </c>
      <c r="B990" t="s">
        <v>2096</v>
      </c>
      <c r="C990" t="s">
        <v>2097</v>
      </c>
      <c r="D990">
        <v>6</v>
      </c>
      <c r="E990" t="s">
        <v>1447</v>
      </c>
      <c r="F990" t="s">
        <v>1798</v>
      </c>
      <c r="G990" t="s">
        <v>1748</v>
      </c>
      <c r="H990" t="s">
        <v>2279</v>
      </c>
      <c r="I990">
        <v>2</v>
      </c>
      <c r="J990" t="s">
        <v>2279</v>
      </c>
      <c r="K990" t="s">
        <v>2279</v>
      </c>
      <c r="L990" t="s">
        <v>2279</v>
      </c>
      <c r="M990" t="s">
        <v>2279</v>
      </c>
      <c r="N990" t="s">
        <v>2279</v>
      </c>
      <c r="O990" s="190" t="str">
        <f>"["&amp;$C990&amp;"]["&amp;$D990&amp;"]["&amp;$F990&amp;"]"</f>
        <v>[S08_ActivityDataIssuesDetail][6][NumberOfInstallations]</v>
      </c>
    </row>
    <row r="991" spans="1:15" x14ac:dyDescent="0.3">
      <c r="A991" t="s">
        <v>2277</v>
      </c>
      <c r="B991" t="s">
        <v>2096</v>
      </c>
      <c r="C991" t="s">
        <v>2097</v>
      </c>
      <c r="D991">
        <v>7</v>
      </c>
      <c r="E991" t="s">
        <v>1447</v>
      </c>
      <c r="F991" t="s">
        <v>1798</v>
      </c>
      <c r="G991" t="s">
        <v>1748</v>
      </c>
      <c r="H991" t="s">
        <v>2279</v>
      </c>
      <c r="I991">
        <v>2</v>
      </c>
      <c r="J991" t="s">
        <v>2279</v>
      </c>
      <c r="K991" t="s">
        <v>2279</v>
      </c>
      <c r="L991" t="s">
        <v>2279</v>
      </c>
      <c r="M991" t="s">
        <v>2279</v>
      </c>
      <c r="N991" t="s">
        <v>2279</v>
      </c>
      <c r="O991" s="190" t="str">
        <f>"["&amp;$C991&amp;"]["&amp;$D991&amp;"]["&amp;$F991&amp;"]"</f>
        <v>[S08_ActivityDataIssuesDetail][7][NumberOfInstallations]</v>
      </c>
    </row>
    <row r="992" spans="1:15" x14ac:dyDescent="0.3">
      <c r="A992" t="s">
        <v>2277</v>
      </c>
      <c r="B992" t="s">
        <v>2096</v>
      </c>
      <c r="C992" t="s">
        <v>2097</v>
      </c>
      <c r="D992">
        <v>1</v>
      </c>
      <c r="E992" t="s">
        <v>1447</v>
      </c>
      <c r="F992" t="s">
        <v>1972</v>
      </c>
      <c r="G992" t="s">
        <v>1748</v>
      </c>
      <c r="H992" t="s">
        <v>2279</v>
      </c>
      <c r="I992">
        <v>3</v>
      </c>
      <c r="J992" t="s">
        <v>2279</v>
      </c>
      <c r="K992" t="s">
        <v>2279</v>
      </c>
      <c r="L992" t="s">
        <v>2279</v>
      </c>
      <c r="M992" t="s">
        <v>2279</v>
      </c>
      <c r="N992" t="s">
        <v>2279</v>
      </c>
      <c r="O992" s="190" t="str">
        <f>"["&amp;$C992&amp;"]["&amp;$D992&amp;"]["&amp;$F992&amp;"]"</f>
        <v>[S08_ActivityDataIssuesDetail][1][NumberOfIssues]</v>
      </c>
    </row>
    <row r="993" spans="1:15" x14ac:dyDescent="0.3">
      <c r="A993" t="s">
        <v>2277</v>
      </c>
      <c r="B993" t="s">
        <v>2096</v>
      </c>
      <c r="C993" t="s">
        <v>2097</v>
      </c>
      <c r="D993">
        <v>2</v>
      </c>
      <c r="E993" t="s">
        <v>1447</v>
      </c>
      <c r="F993" t="s">
        <v>1972</v>
      </c>
      <c r="G993" t="s">
        <v>1748</v>
      </c>
      <c r="H993" t="s">
        <v>2279</v>
      </c>
      <c r="I993">
        <v>39</v>
      </c>
      <c r="J993" t="s">
        <v>2279</v>
      </c>
      <c r="K993" t="s">
        <v>2279</v>
      </c>
      <c r="L993" t="s">
        <v>2279</v>
      </c>
      <c r="M993" t="s">
        <v>2279</v>
      </c>
      <c r="N993" t="s">
        <v>2279</v>
      </c>
      <c r="O993" s="190" t="str">
        <f>"["&amp;$C993&amp;"]["&amp;$D993&amp;"]["&amp;$F993&amp;"]"</f>
        <v>[S08_ActivityDataIssuesDetail][2][NumberOfIssues]</v>
      </c>
    </row>
    <row r="994" spans="1:15" x14ac:dyDescent="0.3">
      <c r="A994" t="s">
        <v>2277</v>
      </c>
      <c r="B994" t="s">
        <v>2096</v>
      </c>
      <c r="C994" t="s">
        <v>2097</v>
      </c>
      <c r="D994">
        <v>3</v>
      </c>
      <c r="E994" t="s">
        <v>1447</v>
      </c>
      <c r="F994" t="s">
        <v>1972</v>
      </c>
      <c r="G994" t="s">
        <v>1748</v>
      </c>
      <c r="H994" t="s">
        <v>2279</v>
      </c>
      <c r="I994">
        <v>8</v>
      </c>
      <c r="J994" t="s">
        <v>2279</v>
      </c>
      <c r="K994" t="s">
        <v>2279</v>
      </c>
      <c r="L994" t="s">
        <v>2279</v>
      </c>
      <c r="M994" t="s">
        <v>2279</v>
      </c>
      <c r="N994" t="s">
        <v>2279</v>
      </c>
      <c r="O994" s="190" t="str">
        <f>"["&amp;$C994&amp;"]["&amp;$D994&amp;"]["&amp;$F994&amp;"]"</f>
        <v>[S08_ActivityDataIssuesDetail][3][NumberOfIssues]</v>
      </c>
    </row>
    <row r="995" spans="1:15" x14ac:dyDescent="0.3">
      <c r="A995" t="s">
        <v>2277</v>
      </c>
      <c r="B995" t="s">
        <v>2096</v>
      </c>
      <c r="C995" t="s">
        <v>2097</v>
      </c>
      <c r="D995">
        <v>4</v>
      </c>
      <c r="E995" t="s">
        <v>1447</v>
      </c>
      <c r="F995" t="s">
        <v>1972</v>
      </c>
      <c r="G995" t="s">
        <v>1748</v>
      </c>
      <c r="H995" t="s">
        <v>2279</v>
      </c>
      <c r="I995">
        <v>44</v>
      </c>
      <c r="J995" t="s">
        <v>2279</v>
      </c>
      <c r="K995" t="s">
        <v>2279</v>
      </c>
      <c r="L995" t="s">
        <v>2279</v>
      </c>
      <c r="M995" t="s">
        <v>2279</v>
      </c>
      <c r="N995" t="s">
        <v>2279</v>
      </c>
      <c r="O995" s="190" t="str">
        <f>"["&amp;$C995&amp;"]["&amp;$D995&amp;"]["&amp;$F995&amp;"]"</f>
        <v>[S08_ActivityDataIssuesDetail][4][NumberOfIssues]</v>
      </c>
    </row>
    <row r="996" spans="1:15" x14ac:dyDescent="0.3">
      <c r="A996" t="s">
        <v>2277</v>
      </c>
      <c r="B996" t="s">
        <v>2096</v>
      </c>
      <c r="C996" t="s">
        <v>2097</v>
      </c>
      <c r="D996">
        <v>5</v>
      </c>
      <c r="E996" t="s">
        <v>1447</v>
      </c>
      <c r="F996" t="s">
        <v>1972</v>
      </c>
      <c r="G996" t="s">
        <v>1748</v>
      </c>
      <c r="H996" t="s">
        <v>2279</v>
      </c>
      <c r="I996">
        <v>1</v>
      </c>
      <c r="J996" t="s">
        <v>2279</v>
      </c>
      <c r="K996" t="s">
        <v>2279</v>
      </c>
      <c r="L996" t="s">
        <v>2279</v>
      </c>
      <c r="M996" t="s">
        <v>2279</v>
      </c>
      <c r="N996" t="s">
        <v>2279</v>
      </c>
      <c r="O996" s="190" t="str">
        <f>"["&amp;$C996&amp;"]["&amp;$D996&amp;"]["&amp;$F996&amp;"]"</f>
        <v>[S08_ActivityDataIssuesDetail][5][NumberOfIssues]</v>
      </c>
    </row>
    <row r="997" spans="1:15" x14ac:dyDescent="0.3">
      <c r="A997" t="s">
        <v>2277</v>
      </c>
      <c r="B997" t="s">
        <v>2096</v>
      </c>
      <c r="C997" t="s">
        <v>2097</v>
      </c>
      <c r="D997">
        <v>6</v>
      </c>
      <c r="E997" t="s">
        <v>1447</v>
      </c>
      <c r="F997" t="s">
        <v>1972</v>
      </c>
      <c r="G997" t="s">
        <v>1748</v>
      </c>
      <c r="H997" t="s">
        <v>2279</v>
      </c>
      <c r="I997">
        <v>3</v>
      </c>
      <c r="J997" t="s">
        <v>2279</v>
      </c>
      <c r="K997" t="s">
        <v>2279</v>
      </c>
      <c r="L997" t="s">
        <v>2279</v>
      </c>
      <c r="M997" t="s">
        <v>2279</v>
      </c>
      <c r="N997" t="s">
        <v>2279</v>
      </c>
      <c r="O997" s="190" t="str">
        <f>"["&amp;$C997&amp;"]["&amp;$D997&amp;"]["&amp;$F997&amp;"]"</f>
        <v>[S08_ActivityDataIssuesDetail][6][NumberOfIssues]</v>
      </c>
    </row>
    <row r="998" spans="1:15" x14ac:dyDescent="0.3">
      <c r="A998" t="s">
        <v>2277</v>
      </c>
      <c r="B998" t="s">
        <v>2096</v>
      </c>
      <c r="C998" t="s">
        <v>2097</v>
      </c>
      <c r="D998">
        <v>7</v>
      </c>
      <c r="E998" t="s">
        <v>1447</v>
      </c>
      <c r="F998" t="s">
        <v>1972</v>
      </c>
      <c r="G998" t="s">
        <v>1748</v>
      </c>
      <c r="H998" t="s">
        <v>2279</v>
      </c>
      <c r="I998">
        <v>2</v>
      </c>
      <c r="J998" t="s">
        <v>2279</v>
      </c>
      <c r="K998" t="s">
        <v>2279</v>
      </c>
      <c r="L998" t="s">
        <v>2279</v>
      </c>
      <c r="M998" t="s">
        <v>2279</v>
      </c>
      <c r="N998" t="s">
        <v>2279</v>
      </c>
      <c r="O998" s="190" t="str">
        <f>"["&amp;$C998&amp;"]["&amp;$D998&amp;"]["&amp;$F998&amp;"]"</f>
        <v>[S08_ActivityDataIssuesDetail][7][NumberOfIssues]</v>
      </c>
    </row>
    <row r="999" spans="1:15" x14ac:dyDescent="0.3">
      <c r="A999" t="s">
        <v>2277</v>
      </c>
      <c r="B999" t="s">
        <v>2096</v>
      </c>
      <c r="C999" t="s">
        <v>2097</v>
      </c>
      <c r="D999">
        <v>1</v>
      </c>
      <c r="E999" t="s">
        <v>1447</v>
      </c>
      <c r="F999" t="s">
        <v>2094</v>
      </c>
      <c r="G999" t="s">
        <v>1748</v>
      </c>
      <c r="H999" t="s">
        <v>2279</v>
      </c>
      <c r="I999">
        <v>0</v>
      </c>
      <c r="J999" t="s">
        <v>2279</v>
      </c>
      <c r="K999" t="s">
        <v>2279</v>
      </c>
      <c r="L999" t="s">
        <v>2279</v>
      </c>
      <c r="M999" t="s">
        <v>2279</v>
      </c>
      <c r="N999" t="s">
        <v>2279</v>
      </c>
      <c r="O999" s="190" t="str">
        <f>"["&amp;$C999&amp;"]["&amp;$D999&amp;"]["&amp;$F999&amp;"]"</f>
        <v>[S08_ActivityDataIssuesDetail][1][NumberOfInstallationsConEst]</v>
      </c>
    </row>
    <row r="1000" spans="1:15" x14ac:dyDescent="0.3">
      <c r="A1000" t="s">
        <v>2277</v>
      </c>
      <c r="B1000" t="s">
        <v>2096</v>
      </c>
      <c r="C1000" t="s">
        <v>2097</v>
      </c>
      <c r="D1000">
        <v>2</v>
      </c>
      <c r="E1000" t="s">
        <v>1447</v>
      </c>
      <c r="F1000" t="s">
        <v>2094</v>
      </c>
      <c r="G1000" t="s">
        <v>1748</v>
      </c>
      <c r="H1000" t="s">
        <v>2279</v>
      </c>
      <c r="I1000">
        <v>0</v>
      </c>
      <c r="J1000" t="s">
        <v>2279</v>
      </c>
      <c r="K1000" t="s">
        <v>2279</v>
      </c>
      <c r="L1000" t="s">
        <v>2279</v>
      </c>
      <c r="M1000" t="s">
        <v>2279</v>
      </c>
      <c r="N1000" t="s">
        <v>2279</v>
      </c>
      <c r="O1000" s="190" t="str">
        <f>"["&amp;$C1000&amp;"]["&amp;$D1000&amp;"]["&amp;$F1000&amp;"]"</f>
        <v>[S08_ActivityDataIssuesDetail][2][NumberOfInstallationsConEst]</v>
      </c>
    </row>
    <row r="1001" spans="1:15" x14ac:dyDescent="0.3">
      <c r="A1001" t="s">
        <v>2277</v>
      </c>
      <c r="B1001" t="s">
        <v>2096</v>
      </c>
      <c r="C1001" t="s">
        <v>2097</v>
      </c>
      <c r="D1001">
        <v>3</v>
      </c>
      <c r="E1001" t="s">
        <v>1447</v>
      </c>
      <c r="F1001" t="s">
        <v>2094</v>
      </c>
      <c r="G1001" t="s">
        <v>1748</v>
      </c>
      <c r="H1001" t="s">
        <v>2279</v>
      </c>
      <c r="I1001">
        <v>0</v>
      </c>
      <c r="J1001" t="s">
        <v>2279</v>
      </c>
      <c r="K1001" t="s">
        <v>2279</v>
      </c>
      <c r="L1001" t="s">
        <v>2279</v>
      </c>
      <c r="M1001" t="s">
        <v>2279</v>
      </c>
      <c r="N1001" t="s">
        <v>2279</v>
      </c>
      <c r="O1001" s="190" t="str">
        <f>"["&amp;$C1001&amp;"]["&amp;$D1001&amp;"]["&amp;$F1001&amp;"]"</f>
        <v>[S08_ActivityDataIssuesDetail][3][NumberOfInstallationsConEst]</v>
      </c>
    </row>
    <row r="1002" spans="1:15" x14ac:dyDescent="0.3">
      <c r="A1002" t="s">
        <v>2277</v>
      </c>
      <c r="B1002" t="s">
        <v>2096</v>
      </c>
      <c r="C1002" t="s">
        <v>2097</v>
      </c>
      <c r="D1002">
        <v>4</v>
      </c>
      <c r="E1002" t="s">
        <v>1447</v>
      </c>
      <c r="F1002" t="s">
        <v>2094</v>
      </c>
      <c r="G1002" t="s">
        <v>1748</v>
      </c>
      <c r="H1002" t="s">
        <v>2279</v>
      </c>
      <c r="I1002">
        <v>0</v>
      </c>
      <c r="J1002" t="s">
        <v>2279</v>
      </c>
      <c r="K1002" t="s">
        <v>2279</v>
      </c>
      <c r="L1002" t="s">
        <v>2279</v>
      </c>
      <c r="M1002" t="s">
        <v>2279</v>
      </c>
      <c r="N1002" t="s">
        <v>2279</v>
      </c>
      <c r="O1002" s="190" t="str">
        <f>"["&amp;$C1002&amp;"]["&amp;$D1002&amp;"]["&amp;$F1002&amp;"]"</f>
        <v>[S08_ActivityDataIssuesDetail][4][NumberOfInstallationsConEst]</v>
      </c>
    </row>
    <row r="1003" spans="1:15" x14ac:dyDescent="0.3">
      <c r="A1003" t="s">
        <v>2277</v>
      </c>
      <c r="B1003" t="s">
        <v>2096</v>
      </c>
      <c r="C1003" t="s">
        <v>2097</v>
      </c>
      <c r="D1003">
        <v>5</v>
      </c>
      <c r="E1003" t="s">
        <v>1447</v>
      </c>
      <c r="F1003" t="s">
        <v>2094</v>
      </c>
      <c r="G1003" t="s">
        <v>1748</v>
      </c>
      <c r="H1003" t="s">
        <v>2279</v>
      </c>
      <c r="I1003">
        <v>0</v>
      </c>
      <c r="J1003" t="s">
        <v>2279</v>
      </c>
      <c r="K1003" t="s">
        <v>2279</v>
      </c>
      <c r="L1003" t="s">
        <v>2279</v>
      </c>
      <c r="M1003" t="s">
        <v>2279</v>
      </c>
      <c r="N1003" t="s">
        <v>2279</v>
      </c>
      <c r="O1003" s="190" t="str">
        <f>"["&amp;$C1003&amp;"]["&amp;$D1003&amp;"]["&amp;$F1003&amp;"]"</f>
        <v>[S08_ActivityDataIssuesDetail][5][NumberOfInstallationsConEst]</v>
      </c>
    </row>
    <row r="1004" spans="1:15" x14ac:dyDescent="0.3">
      <c r="A1004" t="s">
        <v>2277</v>
      </c>
      <c r="B1004" t="s">
        <v>2096</v>
      </c>
      <c r="C1004" t="s">
        <v>2097</v>
      </c>
      <c r="D1004">
        <v>6</v>
      </c>
      <c r="E1004" t="s">
        <v>1447</v>
      </c>
      <c r="F1004" t="s">
        <v>2094</v>
      </c>
      <c r="G1004" t="s">
        <v>1748</v>
      </c>
      <c r="H1004" t="s">
        <v>2279</v>
      </c>
      <c r="I1004">
        <v>0</v>
      </c>
      <c r="J1004" t="s">
        <v>2279</v>
      </c>
      <c r="K1004" t="s">
        <v>2279</v>
      </c>
      <c r="L1004" t="s">
        <v>2279</v>
      </c>
      <c r="M1004" t="s">
        <v>2279</v>
      </c>
      <c r="N1004" t="s">
        <v>2279</v>
      </c>
      <c r="O1004" s="190" t="str">
        <f>"["&amp;$C1004&amp;"]["&amp;$D1004&amp;"]["&amp;$F1004&amp;"]"</f>
        <v>[S08_ActivityDataIssuesDetail][6][NumberOfInstallationsConEst]</v>
      </c>
    </row>
    <row r="1005" spans="1:15" x14ac:dyDescent="0.3">
      <c r="A1005" t="s">
        <v>2277</v>
      </c>
      <c r="B1005" t="s">
        <v>2096</v>
      </c>
      <c r="C1005" t="s">
        <v>2097</v>
      </c>
      <c r="D1005">
        <v>7</v>
      </c>
      <c r="E1005" t="s">
        <v>1447</v>
      </c>
      <c r="F1005" t="s">
        <v>2094</v>
      </c>
      <c r="G1005" t="s">
        <v>1748</v>
      </c>
      <c r="H1005" t="s">
        <v>2279</v>
      </c>
      <c r="I1005">
        <v>0</v>
      </c>
      <c r="J1005" t="s">
        <v>2279</v>
      </c>
      <c r="K1005" t="s">
        <v>2279</v>
      </c>
      <c r="L1005" t="s">
        <v>2279</v>
      </c>
      <c r="M1005" t="s">
        <v>2279</v>
      </c>
      <c r="N1005" t="s">
        <v>2279</v>
      </c>
      <c r="O1005" s="190" t="str">
        <f>"["&amp;$C1005&amp;"]["&amp;$D1005&amp;"]["&amp;$F1005&amp;"]"</f>
        <v>[S08_ActivityDataIssuesDetail][7][NumberOfInstallationsConEst]</v>
      </c>
    </row>
    <row r="1006" spans="1:15" x14ac:dyDescent="0.3">
      <c r="A1006" t="s">
        <v>2277</v>
      </c>
      <c r="B1006" t="s">
        <v>2096</v>
      </c>
      <c r="C1006" t="s">
        <v>2097</v>
      </c>
      <c r="D1006">
        <v>8</v>
      </c>
      <c r="E1006" t="s">
        <v>1447</v>
      </c>
      <c r="F1006" t="s">
        <v>2094</v>
      </c>
      <c r="G1006" t="s">
        <v>1748</v>
      </c>
      <c r="H1006" t="s">
        <v>2279</v>
      </c>
      <c r="I1006">
        <v>0</v>
      </c>
      <c r="J1006" t="s">
        <v>2279</v>
      </c>
      <c r="K1006" t="s">
        <v>2279</v>
      </c>
      <c r="L1006" t="s">
        <v>2279</v>
      </c>
      <c r="M1006" t="s">
        <v>2279</v>
      </c>
      <c r="N1006" t="s">
        <v>2279</v>
      </c>
      <c r="O1006" s="190" t="str">
        <f>"["&amp;$C1006&amp;"]["&amp;$D1006&amp;"]["&amp;$F1006&amp;"]"</f>
        <v>[S08_ActivityDataIssuesDetail][8][NumberOfInstallationsConEst]</v>
      </c>
    </row>
    <row r="1007" spans="1:15" x14ac:dyDescent="0.3">
      <c r="A1007" t="s">
        <v>2277</v>
      </c>
      <c r="B1007" t="s">
        <v>2096</v>
      </c>
      <c r="C1007" t="s">
        <v>2097</v>
      </c>
      <c r="D1007">
        <v>9</v>
      </c>
      <c r="E1007" t="s">
        <v>1447</v>
      </c>
      <c r="F1007" t="s">
        <v>2094</v>
      </c>
      <c r="G1007" t="s">
        <v>1748</v>
      </c>
      <c r="H1007" t="s">
        <v>2279</v>
      </c>
      <c r="I1007">
        <v>0</v>
      </c>
      <c r="J1007" t="s">
        <v>2279</v>
      </c>
      <c r="K1007" t="s">
        <v>2279</v>
      </c>
      <c r="L1007" t="s">
        <v>2279</v>
      </c>
      <c r="M1007" t="s">
        <v>2279</v>
      </c>
      <c r="N1007" t="s">
        <v>2279</v>
      </c>
      <c r="O1007" s="190" t="str">
        <f>"["&amp;$C1007&amp;"]["&amp;$D1007&amp;"]["&amp;$F1007&amp;"]"</f>
        <v>[S08_ActivityDataIssuesDetail][9][NumberOfInstallationsConEst]</v>
      </c>
    </row>
    <row r="1008" spans="1:15" x14ac:dyDescent="0.3">
      <c r="A1008" t="s">
        <v>2277</v>
      </c>
      <c r="B1008" t="s">
        <v>2096</v>
      </c>
      <c r="C1008" t="s">
        <v>2097</v>
      </c>
      <c r="D1008">
        <v>10</v>
      </c>
      <c r="E1008" t="s">
        <v>1447</v>
      </c>
      <c r="F1008" t="s">
        <v>2094</v>
      </c>
      <c r="G1008" t="s">
        <v>1748</v>
      </c>
      <c r="H1008" t="s">
        <v>2279</v>
      </c>
      <c r="I1008">
        <v>0</v>
      </c>
      <c r="J1008" t="s">
        <v>2279</v>
      </c>
      <c r="K1008" t="s">
        <v>2279</v>
      </c>
      <c r="L1008" t="s">
        <v>2279</v>
      </c>
      <c r="M1008" t="s">
        <v>2279</v>
      </c>
      <c r="N1008" t="s">
        <v>2279</v>
      </c>
      <c r="O1008" s="190" t="str">
        <f>"["&amp;$C1008&amp;"]["&amp;$D1008&amp;"]["&amp;$F1008&amp;"]"</f>
        <v>[S08_ActivityDataIssuesDetail][10][NumberOfInstallationsConEst]</v>
      </c>
    </row>
    <row r="1009" spans="1:15" x14ac:dyDescent="0.3">
      <c r="A1009" t="s">
        <v>2277</v>
      </c>
      <c r="B1009" t="s">
        <v>2096</v>
      </c>
      <c r="C1009" t="s">
        <v>2097</v>
      </c>
      <c r="D1009">
        <v>11</v>
      </c>
      <c r="E1009" t="s">
        <v>1447</v>
      </c>
      <c r="F1009" t="s">
        <v>2094</v>
      </c>
      <c r="G1009" t="s">
        <v>1748</v>
      </c>
      <c r="H1009" t="s">
        <v>2279</v>
      </c>
      <c r="I1009">
        <v>0</v>
      </c>
      <c r="J1009" t="s">
        <v>2279</v>
      </c>
      <c r="K1009" t="s">
        <v>2279</v>
      </c>
      <c r="L1009" t="s">
        <v>2279</v>
      </c>
      <c r="M1009" t="s">
        <v>2279</v>
      </c>
      <c r="N1009" t="s">
        <v>2279</v>
      </c>
      <c r="O1009" s="190" t="str">
        <f>"["&amp;$C1009&amp;"]["&amp;$D1009&amp;"]["&amp;$F1009&amp;"]"</f>
        <v>[S08_ActivityDataIssuesDetail][11][NumberOfInstallationsConEst]</v>
      </c>
    </row>
    <row r="1010" spans="1:15" x14ac:dyDescent="0.3">
      <c r="A1010" t="s">
        <v>2277</v>
      </c>
      <c r="B1010" t="s">
        <v>2096</v>
      </c>
      <c r="C1010" t="s">
        <v>2097</v>
      </c>
      <c r="D1010">
        <v>12</v>
      </c>
      <c r="E1010" t="s">
        <v>1447</v>
      </c>
      <c r="F1010" t="s">
        <v>2094</v>
      </c>
      <c r="G1010" t="s">
        <v>1748</v>
      </c>
      <c r="H1010" t="s">
        <v>2279</v>
      </c>
      <c r="I1010">
        <v>0</v>
      </c>
      <c r="J1010" t="s">
        <v>2279</v>
      </c>
      <c r="K1010" t="s">
        <v>2279</v>
      </c>
      <c r="L1010" t="s">
        <v>2279</v>
      </c>
      <c r="M1010" t="s">
        <v>2279</v>
      </c>
      <c r="N1010" t="s">
        <v>2279</v>
      </c>
      <c r="O1010" s="190" t="str">
        <f>"["&amp;$C1010&amp;"]["&amp;$D1010&amp;"]["&amp;$F1010&amp;"]"</f>
        <v>[S08_ActivityDataIssuesDetail][12][NumberOfInstallationsConEst]</v>
      </c>
    </row>
    <row r="1011" spans="1:15" x14ac:dyDescent="0.3">
      <c r="A1011" t="s">
        <v>2277</v>
      </c>
      <c r="B1011" t="s">
        <v>2096</v>
      </c>
      <c r="C1011" t="s">
        <v>2097</v>
      </c>
      <c r="D1011">
        <v>13</v>
      </c>
      <c r="E1011" t="s">
        <v>1447</v>
      </c>
      <c r="F1011" t="s">
        <v>2094</v>
      </c>
      <c r="G1011" t="s">
        <v>1748</v>
      </c>
      <c r="H1011" t="s">
        <v>2279</v>
      </c>
      <c r="I1011">
        <v>0</v>
      </c>
      <c r="J1011" t="s">
        <v>2279</v>
      </c>
      <c r="K1011" t="s">
        <v>2279</v>
      </c>
      <c r="L1011" t="s">
        <v>2279</v>
      </c>
      <c r="M1011" t="s">
        <v>2279</v>
      </c>
      <c r="N1011" t="s">
        <v>2279</v>
      </c>
      <c r="O1011" s="190" t="str">
        <f>"["&amp;$C1011&amp;"]["&amp;$D1011&amp;"]["&amp;$F1011&amp;"]"</f>
        <v>[S08_ActivityDataIssuesDetail][13][NumberOfInstallationsConEst]</v>
      </c>
    </row>
    <row r="1012" spans="1:15" x14ac:dyDescent="0.3">
      <c r="A1012" t="s">
        <v>2277</v>
      </c>
      <c r="B1012" t="s">
        <v>2096</v>
      </c>
      <c r="C1012" t="s">
        <v>2097</v>
      </c>
      <c r="D1012">
        <v>14</v>
      </c>
      <c r="E1012" t="s">
        <v>1447</v>
      </c>
      <c r="F1012" t="s">
        <v>2094</v>
      </c>
      <c r="G1012" t="s">
        <v>1748</v>
      </c>
      <c r="H1012" t="s">
        <v>2279</v>
      </c>
      <c r="I1012">
        <v>0</v>
      </c>
      <c r="J1012" t="s">
        <v>2279</v>
      </c>
      <c r="K1012" t="s">
        <v>2279</v>
      </c>
      <c r="L1012" t="s">
        <v>2279</v>
      </c>
      <c r="M1012" t="s">
        <v>2279</v>
      </c>
      <c r="N1012" t="s">
        <v>2279</v>
      </c>
      <c r="O1012" s="190" t="str">
        <f>"["&amp;$C1012&amp;"]["&amp;$D1012&amp;"]["&amp;$F1012&amp;"]"</f>
        <v>[S08_ActivityDataIssuesDetail][14][NumberOfInstallationsConEst]</v>
      </c>
    </row>
    <row r="1013" spans="1:15" x14ac:dyDescent="0.3">
      <c r="A1013" t="s">
        <v>2277</v>
      </c>
      <c r="B1013" t="s">
        <v>2096</v>
      </c>
      <c r="C1013" t="s">
        <v>2097</v>
      </c>
      <c r="D1013">
        <v>15</v>
      </c>
      <c r="E1013" t="s">
        <v>1447</v>
      </c>
      <c r="F1013" t="s">
        <v>2094</v>
      </c>
      <c r="G1013" t="s">
        <v>1748</v>
      </c>
      <c r="H1013" t="s">
        <v>2279</v>
      </c>
      <c r="I1013">
        <v>0</v>
      </c>
      <c r="J1013" t="s">
        <v>2279</v>
      </c>
      <c r="K1013" t="s">
        <v>2279</v>
      </c>
      <c r="L1013" t="s">
        <v>2279</v>
      </c>
      <c r="M1013" t="s">
        <v>2279</v>
      </c>
      <c r="N1013" t="s">
        <v>2279</v>
      </c>
      <c r="O1013" s="190" t="str">
        <f>"["&amp;$C1013&amp;"]["&amp;$D1013&amp;"]["&amp;$F1013&amp;"]"</f>
        <v>[S08_ActivityDataIssuesDetail][15][NumberOfInstallationsConEst]</v>
      </c>
    </row>
    <row r="1014" spans="1:15" x14ac:dyDescent="0.3">
      <c r="A1014" t="s">
        <v>2277</v>
      </c>
      <c r="B1014" t="s">
        <v>2098</v>
      </c>
      <c r="C1014" t="s">
        <v>2099</v>
      </c>
      <c r="D1014">
        <v>0</v>
      </c>
      <c r="E1014" t="s">
        <v>1447</v>
      </c>
      <c r="F1014" t="s">
        <v>2099</v>
      </c>
      <c r="G1014" t="s">
        <v>1759</v>
      </c>
      <c r="H1014" t="s">
        <v>2279</v>
      </c>
      <c r="I1014" t="s">
        <v>2279</v>
      </c>
      <c r="J1014" t="s">
        <v>2279</v>
      </c>
      <c r="K1014" t="s">
        <v>2279</v>
      </c>
      <c r="L1014" t="s">
        <v>1419</v>
      </c>
      <c r="M1014" t="s">
        <v>2279</v>
      </c>
      <c r="N1014" t="s">
        <v>2279</v>
      </c>
      <c r="O1014" s="190" t="str">
        <f>"["&amp;$C1014&amp;"]["&amp;$D1014&amp;"]["&amp;$F1014&amp;"]"</f>
        <v>[ActivityReportRejected][0][ActivityReportRejected]</v>
      </c>
    </row>
    <row r="1015" spans="1:15" x14ac:dyDescent="0.3">
      <c r="A1015" t="s">
        <v>2277</v>
      </c>
      <c r="B1015" t="s">
        <v>2098</v>
      </c>
      <c r="C1015" t="s">
        <v>2100</v>
      </c>
      <c r="D1015">
        <v>1</v>
      </c>
      <c r="E1015" t="s">
        <v>1447</v>
      </c>
      <c r="F1015" t="s">
        <v>2101</v>
      </c>
      <c r="G1015" t="s">
        <v>1748</v>
      </c>
      <c r="H1015" t="s">
        <v>2279</v>
      </c>
      <c r="I1015">
        <v>0</v>
      </c>
      <c r="J1015" t="s">
        <v>2279</v>
      </c>
      <c r="K1015" t="s">
        <v>2279</v>
      </c>
      <c r="L1015" t="s">
        <v>2279</v>
      </c>
      <c r="M1015" t="s">
        <v>2279</v>
      </c>
      <c r="N1015" t="s">
        <v>2279</v>
      </c>
      <c r="O1015" s="190" t="str">
        <f>"["&amp;$C1015&amp;"]["&amp;$D1015&amp;"]["&amp;$F1015&amp;"]"</f>
        <v>[S08_ActivityReportRejectedDetail][1][NumberActivityReportRejected]</v>
      </c>
    </row>
    <row r="1016" spans="1:15" x14ac:dyDescent="0.3">
      <c r="A1016" t="s">
        <v>2277</v>
      </c>
      <c r="B1016" t="s">
        <v>2098</v>
      </c>
      <c r="C1016" t="s">
        <v>2100</v>
      </c>
      <c r="D1016">
        <v>2</v>
      </c>
      <c r="E1016" t="s">
        <v>1447</v>
      </c>
      <c r="F1016" t="s">
        <v>2101</v>
      </c>
      <c r="G1016" t="s">
        <v>1748</v>
      </c>
      <c r="H1016" t="s">
        <v>2279</v>
      </c>
      <c r="I1016">
        <v>4</v>
      </c>
      <c r="J1016" t="s">
        <v>2279</v>
      </c>
      <c r="K1016" t="s">
        <v>2279</v>
      </c>
      <c r="L1016" t="s">
        <v>2279</v>
      </c>
      <c r="M1016" t="s">
        <v>2279</v>
      </c>
      <c r="N1016" t="s">
        <v>2279</v>
      </c>
      <c r="O1016" s="190" t="str">
        <f>"["&amp;$C1016&amp;"]["&amp;$D1016&amp;"]["&amp;$F1016&amp;"]"</f>
        <v>[S08_ActivityReportRejectedDetail][2][NumberActivityReportRejected]</v>
      </c>
    </row>
    <row r="1017" spans="1:15" x14ac:dyDescent="0.3">
      <c r="A1017" t="s">
        <v>2277</v>
      </c>
      <c r="B1017" t="s">
        <v>2098</v>
      </c>
      <c r="C1017" t="s">
        <v>2100</v>
      </c>
      <c r="D1017">
        <v>2</v>
      </c>
      <c r="E1017" t="s">
        <v>1447</v>
      </c>
      <c r="F1017" t="s">
        <v>2102</v>
      </c>
      <c r="G1017" t="s">
        <v>1791</v>
      </c>
      <c r="H1017" t="s">
        <v>2279</v>
      </c>
      <c r="I1017" t="s">
        <v>2279</v>
      </c>
      <c r="J1017" t="s">
        <v>2279</v>
      </c>
      <c r="K1017" t="s">
        <v>2386</v>
      </c>
      <c r="L1017" t="s">
        <v>2279</v>
      </c>
      <c r="M1017" t="s">
        <v>2279</v>
      </c>
      <c r="N1017" t="s">
        <v>2279</v>
      </c>
      <c r="O1017" s="190" t="str">
        <f>"["&amp;$C1017&amp;"]["&amp;$D1017&amp;"]["&amp;$F1017&amp;"]"</f>
        <v>[S08_ActivityReportRejectedDetail][2][ReasonForRejection]</v>
      </c>
    </row>
    <row r="1018" spans="1:15" x14ac:dyDescent="0.3">
      <c r="A1018" t="s">
        <v>2277</v>
      </c>
      <c r="B1018" t="s">
        <v>2098</v>
      </c>
      <c r="C1018" t="s">
        <v>2100</v>
      </c>
      <c r="D1018">
        <v>3</v>
      </c>
      <c r="E1018" t="s">
        <v>1447</v>
      </c>
      <c r="F1018" t="s">
        <v>2000</v>
      </c>
      <c r="G1018" t="s">
        <v>1741</v>
      </c>
      <c r="H1018" t="s">
        <v>2387</v>
      </c>
      <c r="I1018" t="s">
        <v>2279</v>
      </c>
      <c r="J1018" t="s">
        <v>2279</v>
      </c>
      <c r="K1018" t="s">
        <v>2279</v>
      </c>
      <c r="L1018" t="s">
        <v>2279</v>
      </c>
      <c r="M1018" t="s">
        <v>2279</v>
      </c>
      <c r="N1018" t="s">
        <v>2279</v>
      </c>
      <c r="O1018" s="190" t="str">
        <f>"["&amp;$C1018&amp;"]["&amp;$D1018&amp;"]["&amp;$F1018&amp;"]"</f>
        <v>[S08_ActivityReportRejectedDetail][3][ActionsTaken]</v>
      </c>
    </row>
    <row r="1019" spans="1:15" x14ac:dyDescent="0.3">
      <c r="A1019" t="s">
        <v>2277</v>
      </c>
      <c r="B1019" t="s">
        <v>2098</v>
      </c>
      <c r="C1019" t="s">
        <v>2100</v>
      </c>
      <c r="D1019">
        <v>4</v>
      </c>
      <c r="E1019" t="s">
        <v>1419</v>
      </c>
      <c r="F1019" t="s">
        <v>2000</v>
      </c>
      <c r="G1019" t="s">
        <v>1791</v>
      </c>
      <c r="H1019" t="s">
        <v>2279</v>
      </c>
      <c r="I1019" t="s">
        <v>2279</v>
      </c>
      <c r="J1019" t="s">
        <v>2279</v>
      </c>
      <c r="K1019" t="s">
        <v>2388</v>
      </c>
      <c r="L1019" t="s">
        <v>2279</v>
      </c>
      <c r="M1019" t="s">
        <v>2279</v>
      </c>
      <c r="N1019" t="s">
        <v>2279</v>
      </c>
      <c r="O1019" s="190" t="str">
        <f>"["&amp;$C1019&amp;"]["&amp;$D1019&amp;"]["&amp;$F1019&amp;"]"</f>
        <v>[S08_ActivityReportRejectedDetail][4][ActionsTaken]</v>
      </c>
    </row>
    <row r="1020" spans="1:15" x14ac:dyDescent="0.3">
      <c r="A1020" t="s">
        <v>2277</v>
      </c>
      <c r="B1020" t="s">
        <v>2103</v>
      </c>
      <c r="C1020" t="s">
        <v>2104</v>
      </c>
      <c r="D1020">
        <v>0</v>
      </c>
      <c r="E1020" t="s">
        <v>1447</v>
      </c>
      <c r="F1020" t="s">
        <v>2104</v>
      </c>
      <c r="G1020" t="s">
        <v>1759</v>
      </c>
      <c r="H1020" t="s">
        <v>2279</v>
      </c>
      <c r="I1020" t="s">
        <v>2279</v>
      </c>
      <c r="J1020" t="s">
        <v>2279</v>
      </c>
      <c r="K1020" t="s">
        <v>2279</v>
      </c>
      <c r="L1020" t="s">
        <v>1419</v>
      </c>
      <c r="M1020" t="s">
        <v>2279</v>
      </c>
      <c r="N1020" t="s">
        <v>2279</v>
      </c>
      <c r="O1020" s="190" t="str">
        <f>"["&amp;$C1020&amp;"]["&amp;$D1020&amp;"]["&amp;$F1020&amp;"]"</f>
        <v>[ActivityLevelVisitsWaived][0][ActivityLevelVisitsWaived]</v>
      </c>
    </row>
    <row r="1021" spans="1:15" x14ac:dyDescent="0.3">
      <c r="A1021" t="s">
        <v>2277</v>
      </c>
      <c r="B1021" t="s">
        <v>2106</v>
      </c>
      <c r="C1021" t="s">
        <v>2107</v>
      </c>
      <c r="D1021">
        <v>0</v>
      </c>
      <c r="E1021" t="s">
        <v>1447</v>
      </c>
      <c r="F1021" t="s">
        <v>2107</v>
      </c>
      <c r="G1021" t="s">
        <v>1759</v>
      </c>
      <c r="H1021" t="s">
        <v>2279</v>
      </c>
      <c r="I1021" t="s">
        <v>2279</v>
      </c>
      <c r="J1021" t="s">
        <v>2279</v>
      </c>
      <c r="K1021" t="s">
        <v>2279</v>
      </c>
      <c r="L1021" t="s">
        <v>1447</v>
      </c>
      <c r="M1021" t="s">
        <v>2279</v>
      </c>
      <c r="N1021" t="s">
        <v>2279</v>
      </c>
      <c r="O1021" s="190" t="str">
        <f>"["&amp;$C1021&amp;"]["&amp;$D1021&amp;"]["&amp;$F1021&amp;"]"</f>
        <v>[VirtualVisitsActivityLevel][0][VirtualVisitsActivityLevel]</v>
      </c>
    </row>
    <row r="1022" spans="1:15" x14ac:dyDescent="0.3">
      <c r="A1022" t="s">
        <v>2277</v>
      </c>
      <c r="B1022" t="s">
        <v>2117</v>
      </c>
      <c r="C1022" t="s">
        <v>2125</v>
      </c>
      <c r="D1022">
        <v>0</v>
      </c>
      <c r="E1022" t="s">
        <v>1447</v>
      </c>
      <c r="F1022" t="s">
        <v>2125</v>
      </c>
      <c r="G1022" t="s">
        <v>1759</v>
      </c>
      <c r="H1022" t="s">
        <v>2279</v>
      </c>
      <c r="I1022" t="s">
        <v>2279</v>
      </c>
      <c r="J1022" t="s">
        <v>2279</v>
      </c>
      <c r="K1022" t="s">
        <v>2279</v>
      </c>
      <c r="L1022" t="s">
        <v>1447</v>
      </c>
      <c r="M1022" t="s">
        <v>2279</v>
      </c>
      <c r="N1022" t="s">
        <v>2279</v>
      </c>
      <c r="O1022" s="190" t="str">
        <f>"["&amp;$C1022&amp;"]["&amp;$D1022&amp;"]["&amp;$F1022&amp;"]"</f>
        <v>[PriorPenaltiesEnforced][0][PriorPenaltiesEnforced]</v>
      </c>
    </row>
    <row r="1023" spans="1:15" x14ac:dyDescent="0.3">
      <c r="A1023" t="s">
        <v>2277</v>
      </c>
      <c r="B1023" t="s">
        <v>2130</v>
      </c>
      <c r="C1023" t="s">
        <v>2131</v>
      </c>
      <c r="D1023">
        <v>0</v>
      </c>
      <c r="E1023" t="s">
        <v>1447</v>
      </c>
      <c r="F1023" t="s">
        <v>2131</v>
      </c>
      <c r="G1023" t="s">
        <v>1759</v>
      </c>
      <c r="H1023" t="s">
        <v>2279</v>
      </c>
      <c r="I1023" t="s">
        <v>2279</v>
      </c>
      <c r="J1023" t="s">
        <v>2279</v>
      </c>
      <c r="K1023" t="s">
        <v>2279</v>
      </c>
      <c r="L1023" t="s">
        <v>1419</v>
      </c>
      <c r="M1023" t="s">
        <v>2279</v>
      </c>
      <c r="N1023" t="s">
        <v>2279</v>
      </c>
      <c r="O1023" s="190" t="str">
        <f>"["&amp;$C1023&amp;"]["&amp;$D1023&amp;"]["&amp;$F1023&amp;"]"</f>
        <v>[InstallationOperatorFees][0][InstallationOperatorFees]</v>
      </c>
    </row>
    <row r="1024" spans="1:15" x14ac:dyDescent="0.3">
      <c r="A1024" t="s">
        <v>2277</v>
      </c>
      <c r="B1024" t="s">
        <v>2130</v>
      </c>
      <c r="C1024" t="s">
        <v>2132</v>
      </c>
      <c r="D1024">
        <v>1</v>
      </c>
      <c r="E1024" t="s">
        <v>1447</v>
      </c>
      <c r="F1024" t="s">
        <v>2133</v>
      </c>
      <c r="G1024" t="s">
        <v>1806</v>
      </c>
      <c r="H1024" t="s">
        <v>2279</v>
      </c>
      <c r="I1024" t="s">
        <v>2279</v>
      </c>
      <c r="J1024">
        <v>0</v>
      </c>
      <c r="K1024" t="s">
        <v>2279</v>
      </c>
      <c r="L1024" t="s">
        <v>2279</v>
      </c>
      <c r="M1024" t="s">
        <v>2279</v>
      </c>
      <c r="N1024" t="s">
        <v>2279</v>
      </c>
      <c r="O1024" s="190" t="str">
        <f>"["&amp;$C1024&amp;"]["&amp;$D1024&amp;"]["&amp;$F1024&amp;"]"</f>
        <v>[S09_InstallationOperatorFeesPermits][1][FeesAmount]</v>
      </c>
    </row>
    <row r="1025" spans="1:15" x14ac:dyDescent="0.3">
      <c r="A1025" t="s">
        <v>2277</v>
      </c>
      <c r="B1025" t="s">
        <v>2130</v>
      </c>
      <c r="C1025" t="s">
        <v>2132</v>
      </c>
      <c r="D1025">
        <v>2</v>
      </c>
      <c r="E1025" t="s">
        <v>1447</v>
      </c>
      <c r="F1025" t="s">
        <v>2133</v>
      </c>
      <c r="G1025" t="s">
        <v>1806</v>
      </c>
      <c r="H1025" t="s">
        <v>2279</v>
      </c>
      <c r="I1025" t="s">
        <v>2279</v>
      </c>
      <c r="J1025">
        <v>0</v>
      </c>
      <c r="K1025" t="s">
        <v>2279</v>
      </c>
      <c r="L1025" t="s">
        <v>2279</v>
      </c>
      <c r="M1025" t="s">
        <v>2279</v>
      </c>
      <c r="N1025" t="s">
        <v>2279</v>
      </c>
      <c r="O1025" s="190" t="str">
        <f>"["&amp;$C1025&amp;"]["&amp;$D1025&amp;"]["&amp;$F1025&amp;"]"</f>
        <v>[S09_InstallationOperatorFeesPermits][2][FeesAmount]</v>
      </c>
    </row>
    <row r="1026" spans="1:15" x14ac:dyDescent="0.3">
      <c r="A1026" t="s">
        <v>2277</v>
      </c>
      <c r="B1026" t="s">
        <v>2130</v>
      </c>
      <c r="C1026" t="s">
        <v>2132</v>
      </c>
      <c r="D1026">
        <v>3</v>
      </c>
      <c r="E1026" t="s">
        <v>1447</v>
      </c>
      <c r="F1026" t="s">
        <v>2133</v>
      </c>
      <c r="G1026" t="s">
        <v>1806</v>
      </c>
      <c r="H1026" t="s">
        <v>2279</v>
      </c>
      <c r="I1026" t="s">
        <v>2279</v>
      </c>
      <c r="J1026">
        <v>0</v>
      </c>
      <c r="K1026" t="s">
        <v>2279</v>
      </c>
      <c r="L1026" t="s">
        <v>2279</v>
      </c>
      <c r="M1026" t="s">
        <v>2279</v>
      </c>
      <c r="N1026" t="s">
        <v>2279</v>
      </c>
      <c r="O1026" s="190" t="str">
        <f>"["&amp;$C1026&amp;"]["&amp;$D1026&amp;"]["&amp;$F1026&amp;"]"</f>
        <v>[S09_InstallationOperatorFeesPermits][3][FeesAmount]</v>
      </c>
    </row>
    <row r="1027" spans="1:15" x14ac:dyDescent="0.3">
      <c r="A1027" t="s">
        <v>2277</v>
      </c>
      <c r="B1027" t="s">
        <v>2130</v>
      </c>
      <c r="C1027" t="s">
        <v>2132</v>
      </c>
      <c r="D1027">
        <v>4</v>
      </c>
      <c r="E1027" t="s">
        <v>1447</v>
      </c>
      <c r="F1027" t="s">
        <v>2133</v>
      </c>
      <c r="G1027" t="s">
        <v>1806</v>
      </c>
      <c r="H1027" t="s">
        <v>2279</v>
      </c>
      <c r="I1027" t="s">
        <v>2279</v>
      </c>
      <c r="J1027">
        <v>0</v>
      </c>
      <c r="K1027" t="s">
        <v>2279</v>
      </c>
      <c r="L1027" t="s">
        <v>2279</v>
      </c>
      <c r="M1027" t="s">
        <v>2279</v>
      </c>
      <c r="N1027" t="s">
        <v>2279</v>
      </c>
      <c r="O1027" s="190" t="str">
        <f>"["&amp;$C1027&amp;"]["&amp;$D1027&amp;"]["&amp;$F1027&amp;"]"</f>
        <v>[S09_InstallationOperatorFeesPermits][4][FeesAmount]</v>
      </c>
    </row>
    <row r="1028" spans="1:15" x14ac:dyDescent="0.3">
      <c r="A1028" t="s">
        <v>2277</v>
      </c>
      <c r="B1028" t="s">
        <v>2130</v>
      </c>
      <c r="C1028" t="s">
        <v>2132</v>
      </c>
      <c r="D1028">
        <v>5</v>
      </c>
      <c r="E1028" t="s">
        <v>1447</v>
      </c>
      <c r="F1028" t="s">
        <v>2133</v>
      </c>
      <c r="G1028" t="s">
        <v>1806</v>
      </c>
      <c r="H1028" t="s">
        <v>2279</v>
      </c>
      <c r="I1028" t="s">
        <v>2279</v>
      </c>
      <c r="J1028">
        <v>0</v>
      </c>
      <c r="K1028" t="s">
        <v>2279</v>
      </c>
      <c r="L1028" t="s">
        <v>2279</v>
      </c>
      <c r="M1028" t="s">
        <v>2279</v>
      </c>
      <c r="N1028" t="s">
        <v>2279</v>
      </c>
      <c r="O1028" s="190" t="str">
        <f>"["&amp;$C1028&amp;"]["&amp;$D1028&amp;"]["&amp;$F1028&amp;"]"</f>
        <v>[S09_InstallationOperatorFeesPermits][5][FeesAmount]</v>
      </c>
    </row>
    <row r="1029" spans="1:15" x14ac:dyDescent="0.3">
      <c r="A1029" t="s">
        <v>2277</v>
      </c>
      <c r="B1029" t="s">
        <v>2130</v>
      </c>
      <c r="C1029" t="s">
        <v>2135</v>
      </c>
      <c r="D1029">
        <v>1</v>
      </c>
      <c r="E1029" t="s">
        <v>1447</v>
      </c>
      <c r="F1029" t="s">
        <v>2133</v>
      </c>
      <c r="G1029" t="s">
        <v>1806</v>
      </c>
      <c r="H1029" t="s">
        <v>2279</v>
      </c>
      <c r="I1029" t="s">
        <v>2279</v>
      </c>
      <c r="J1029">
        <v>4854</v>
      </c>
      <c r="K1029" t="s">
        <v>2279</v>
      </c>
      <c r="L1029" t="s">
        <v>2279</v>
      </c>
      <c r="M1029" t="s">
        <v>2279</v>
      </c>
      <c r="N1029" t="s">
        <v>2279</v>
      </c>
      <c r="O1029" s="190" t="str">
        <f>"["&amp;$C1029&amp;"]["&amp;$D1029&amp;"]["&amp;$F1029&amp;"]"</f>
        <v>[S09_InstallationOperatorFeesSubsistence][1][FeesAmount]</v>
      </c>
    </row>
    <row r="1030" spans="1:15" x14ac:dyDescent="0.3">
      <c r="A1030" t="s">
        <v>2277</v>
      </c>
      <c r="B1030" t="s">
        <v>2136</v>
      </c>
      <c r="C1030" t="s">
        <v>2137</v>
      </c>
      <c r="D1030">
        <v>0</v>
      </c>
      <c r="E1030" t="s">
        <v>1447</v>
      </c>
      <c r="F1030" t="s">
        <v>2137</v>
      </c>
      <c r="G1030" t="s">
        <v>1759</v>
      </c>
      <c r="H1030" t="s">
        <v>2279</v>
      </c>
      <c r="I1030" t="s">
        <v>2279</v>
      </c>
      <c r="J1030" t="s">
        <v>2279</v>
      </c>
      <c r="K1030" t="s">
        <v>2279</v>
      </c>
      <c r="L1030" t="s">
        <v>1419</v>
      </c>
      <c r="M1030" t="s">
        <v>2279</v>
      </c>
      <c r="N1030" t="s">
        <v>2279</v>
      </c>
      <c r="O1030" s="190" t="str">
        <f>"["&amp;$C1030&amp;"]["&amp;$D1030&amp;"]["&amp;$F1030&amp;"]"</f>
        <v>[AircraftOperatorFees][0][AircraftOperatorFees]</v>
      </c>
    </row>
    <row r="1031" spans="1:15" x14ac:dyDescent="0.3">
      <c r="A1031" t="s">
        <v>2277</v>
      </c>
      <c r="B1031" t="s">
        <v>2136</v>
      </c>
      <c r="C1031" t="s">
        <v>2138</v>
      </c>
      <c r="D1031">
        <v>1</v>
      </c>
      <c r="E1031" t="s">
        <v>1447</v>
      </c>
      <c r="F1031" t="s">
        <v>2133</v>
      </c>
      <c r="G1031" t="s">
        <v>1806</v>
      </c>
      <c r="H1031" t="s">
        <v>2279</v>
      </c>
      <c r="I1031" t="s">
        <v>2279</v>
      </c>
      <c r="J1031">
        <v>0</v>
      </c>
      <c r="K1031" t="s">
        <v>2279</v>
      </c>
      <c r="L1031" t="s">
        <v>2279</v>
      </c>
      <c r="M1031" t="s">
        <v>2279</v>
      </c>
      <c r="N1031" t="s">
        <v>2279</v>
      </c>
      <c r="O1031" s="190" t="str">
        <f>"["&amp;$C1031&amp;"]["&amp;$D1031&amp;"]["&amp;$F1031&amp;"]"</f>
        <v>[S09_AircraftOperatorFeesMonitoringPlans][1][FeesAmount]</v>
      </c>
    </row>
    <row r="1032" spans="1:15" x14ac:dyDescent="0.3">
      <c r="A1032" t="s">
        <v>2277</v>
      </c>
      <c r="B1032" t="s">
        <v>2136</v>
      </c>
      <c r="C1032" t="s">
        <v>2138</v>
      </c>
      <c r="D1032">
        <v>2</v>
      </c>
      <c r="E1032" t="s">
        <v>1447</v>
      </c>
      <c r="F1032" t="s">
        <v>2133</v>
      </c>
      <c r="G1032" t="s">
        <v>1806</v>
      </c>
      <c r="H1032" t="s">
        <v>2279</v>
      </c>
      <c r="I1032" t="s">
        <v>2279</v>
      </c>
      <c r="J1032">
        <v>0</v>
      </c>
      <c r="K1032" t="s">
        <v>2279</v>
      </c>
      <c r="L1032" t="s">
        <v>2279</v>
      </c>
      <c r="M1032" t="s">
        <v>2279</v>
      </c>
      <c r="N1032" t="s">
        <v>2279</v>
      </c>
      <c r="O1032" s="190" t="str">
        <f>"["&amp;$C1032&amp;"]["&amp;$D1032&amp;"]["&amp;$F1032&amp;"]"</f>
        <v>[S09_AircraftOperatorFeesMonitoringPlans][2][FeesAmount]</v>
      </c>
    </row>
    <row r="1033" spans="1:15" x14ac:dyDescent="0.3">
      <c r="A1033" t="s">
        <v>2277</v>
      </c>
      <c r="B1033" t="s">
        <v>2136</v>
      </c>
      <c r="C1033" t="s">
        <v>2138</v>
      </c>
      <c r="D1033">
        <v>3</v>
      </c>
      <c r="E1033" t="s">
        <v>1447</v>
      </c>
      <c r="F1033" t="s">
        <v>2133</v>
      </c>
      <c r="G1033" t="s">
        <v>1806</v>
      </c>
      <c r="H1033" t="s">
        <v>2279</v>
      </c>
      <c r="I1033" t="s">
        <v>2279</v>
      </c>
      <c r="J1033">
        <v>0</v>
      </c>
      <c r="K1033" t="s">
        <v>2279</v>
      </c>
      <c r="L1033" t="s">
        <v>2279</v>
      </c>
      <c r="M1033" t="s">
        <v>2279</v>
      </c>
      <c r="N1033" t="s">
        <v>2279</v>
      </c>
      <c r="O1033" s="190" t="str">
        <f>"["&amp;$C1033&amp;"]["&amp;$D1033&amp;"]["&amp;$F1033&amp;"]"</f>
        <v>[S09_AircraftOperatorFeesMonitoringPlans][3][FeesAmount]</v>
      </c>
    </row>
    <row r="1034" spans="1:15" x14ac:dyDescent="0.3">
      <c r="A1034" t="s">
        <v>2277</v>
      </c>
      <c r="B1034" t="s">
        <v>2136</v>
      </c>
      <c r="C1034" t="s">
        <v>2138</v>
      </c>
      <c r="D1034">
        <v>4</v>
      </c>
      <c r="E1034" t="s">
        <v>1447</v>
      </c>
      <c r="F1034" t="s">
        <v>2133</v>
      </c>
      <c r="G1034" t="s">
        <v>1806</v>
      </c>
      <c r="H1034" t="s">
        <v>2279</v>
      </c>
      <c r="I1034" t="s">
        <v>2279</v>
      </c>
      <c r="J1034">
        <v>0</v>
      </c>
      <c r="K1034" t="s">
        <v>2279</v>
      </c>
      <c r="L1034" t="s">
        <v>2279</v>
      </c>
      <c r="M1034" t="s">
        <v>2279</v>
      </c>
      <c r="N1034" t="s">
        <v>2279</v>
      </c>
      <c r="O1034" s="190" t="str">
        <f>"["&amp;$C1034&amp;"]["&amp;$D1034&amp;"]["&amp;$F1034&amp;"]"</f>
        <v>[S09_AircraftOperatorFeesMonitoringPlans][4][FeesAmount]</v>
      </c>
    </row>
    <row r="1035" spans="1:15" x14ac:dyDescent="0.3">
      <c r="A1035" t="s">
        <v>2277</v>
      </c>
      <c r="B1035" t="s">
        <v>2136</v>
      </c>
      <c r="C1035" t="s">
        <v>2138</v>
      </c>
      <c r="D1035">
        <v>5</v>
      </c>
      <c r="E1035" t="s">
        <v>1447</v>
      </c>
      <c r="F1035" t="s">
        <v>2133</v>
      </c>
      <c r="G1035" t="s">
        <v>1806</v>
      </c>
      <c r="H1035" t="s">
        <v>2279</v>
      </c>
      <c r="I1035" t="s">
        <v>2279</v>
      </c>
      <c r="J1035">
        <v>0</v>
      </c>
      <c r="K1035" t="s">
        <v>2279</v>
      </c>
      <c r="L1035" t="s">
        <v>2279</v>
      </c>
      <c r="M1035" t="s">
        <v>2279</v>
      </c>
      <c r="N1035" t="s">
        <v>2279</v>
      </c>
      <c r="O1035" s="190" t="str">
        <f>"["&amp;$C1035&amp;"]["&amp;$D1035&amp;"]["&amp;$F1035&amp;"]"</f>
        <v>[S09_AircraftOperatorFeesMonitoringPlans][5][FeesAmount]</v>
      </c>
    </row>
    <row r="1036" spans="1:15" x14ac:dyDescent="0.3">
      <c r="A1036" t="s">
        <v>2277</v>
      </c>
      <c r="B1036" t="s">
        <v>2136</v>
      </c>
      <c r="C1036" t="s">
        <v>2138</v>
      </c>
      <c r="D1036">
        <v>6</v>
      </c>
      <c r="E1036" t="s">
        <v>1447</v>
      </c>
      <c r="F1036" t="s">
        <v>2133</v>
      </c>
      <c r="G1036" t="s">
        <v>1806</v>
      </c>
      <c r="H1036" t="s">
        <v>2279</v>
      </c>
      <c r="I1036" t="s">
        <v>2279</v>
      </c>
      <c r="J1036">
        <v>0</v>
      </c>
      <c r="K1036" t="s">
        <v>2279</v>
      </c>
      <c r="L1036" t="s">
        <v>2279</v>
      </c>
      <c r="M1036" t="s">
        <v>2279</v>
      </c>
      <c r="N1036" t="s">
        <v>2279</v>
      </c>
      <c r="O1036" s="190" t="str">
        <f>"["&amp;$C1036&amp;"]["&amp;$D1036&amp;"]["&amp;$F1036&amp;"]"</f>
        <v>[S09_AircraftOperatorFeesMonitoringPlans][6][FeesAmount]</v>
      </c>
    </row>
    <row r="1037" spans="1:15" x14ac:dyDescent="0.3">
      <c r="A1037" t="s">
        <v>2277</v>
      </c>
      <c r="B1037" t="s">
        <v>2136</v>
      </c>
      <c r="C1037" t="s">
        <v>2139</v>
      </c>
      <c r="D1037">
        <v>1</v>
      </c>
      <c r="E1037" t="s">
        <v>1447</v>
      </c>
      <c r="F1037" t="s">
        <v>2133</v>
      </c>
      <c r="G1037" t="s">
        <v>1806</v>
      </c>
      <c r="H1037" t="s">
        <v>2279</v>
      </c>
      <c r="I1037" t="s">
        <v>2279</v>
      </c>
      <c r="J1037">
        <v>4854</v>
      </c>
      <c r="K1037" t="s">
        <v>2279</v>
      </c>
      <c r="L1037" t="s">
        <v>2279</v>
      </c>
      <c r="M1037" t="s">
        <v>2279</v>
      </c>
      <c r="N1037" t="s">
        <v>2279</v>
      </c>
      <c r="O1037" s="190" t="str">
        <f>"["&amp;$C1037&amp;"]["&amp;$D1037&amp;"]["&amp;$F1037&amp;"]"</f>
        <v>[S09_AircraftOperatorFeesSubsistence][1][FeesAmount]</v>
      </c>
    </row>
    <row r="1038" spans="1:15" x14ac:dyDescent="0.3">
      <c r="A1038" t="s">
        <v>2277</v>
      </c>
      <c r="B1038" t="s">
        <v>2136</v>
      </c>
      <c r="C1038" t="s">
        <v>2143</v>
      </c>
      <c r="D1038">
        <v>1</v>
      </c>
      <c r="E1038" t="s">
        <v>1447</v>
      </c>
      <c r="F1038" t="s">
        <v>2144</v>
      </c>
      <c r="G1038" t="s">
        <v>1741</v>
      </c>
      <c r="H1038" t="s">
        <v>2389</v>
      </c>
      <c r="I1038" t="s">
        <v>2279</v>
      </c>
      <c r="J1038" t="s">
        <v>2279</v>
      </c>
      <c r="K1038" t="s">
        <v>2279</v>
      </c>
      <c r="L1038" t="s">
        <v>2279</v>
      </c>
      <c r="M1038" t="s">
        <v>2279</v>
      </c>
      <c r="N1038" t="s">
        <v>2279</v>
      </c>
      <c r="O1038" s="190" t="str">
        <f>"["&amp;$C1038&amp;"]["&amp;$D1038&amp;"]["&amp;$F1038&amp;"]"</f>
        <v>[S09_RegistryAccountAnnualFees][1][AnnualFeeReason]</v>
      </c>
    </row>
    <row r="1039" spans="1:15" x14ac:dyDescent="0.3">
      <c r="A1039" t="s">
        <v>2277</v>
      </c>
      <c r="B1039" t="s">
        <v>2136</v>
      </c>
      <c r="C1039" t="s">
        <v>2143</v>
      </c>
      <c r="D1039">
        <v>2</v>
      </c>
      <c r="E1039" t="s">
        <v>1447</v>
      </c>
      <c r="F1039" t="s">
        <v>2144</v>
      </c>
      <c r="G1039" t="s">
        <v>1741</v>
      </c>
      <c r="H1039" t="s">
        <v>2390</v>
      </c>
      <c r="I1039" t="s">
        <v>2279</v>
      </c>
      <c r="J1039" t="s">
        <v>2279</v>
      </c>
      <c r="K1039" t="s">
        <v>2279</v>
      </c>
      <c r="L1039" t="s">
        <v>2279</v>
      </c>
      <c r="M1039" t="s">
        <v>2279</v>
      </c>
      <c r="N1039" t="s">
        <v>2279</v>
      </c>
      <c r="O1039" s="190" t="str">
        <f>"["&amp;$C1039&amp;"]["&amp;$D1039&amp;"]["&amp;$F1039&amp;"]"</f>
        <v>[S09_RegistryAccountAnnualFees][2][AnnualFeeReason]</v>
      </c>
    </row>
    <row r="1040" spans="1:15" x14ac:dyDescent="0.3">
      <c r="A1040" t="s">
        <v>2277</v>
      </c>
      <c r="B1040" t="s">
        <v>2136</v>
      </c>
      <c r="C1040" t="s">
        <v>2143</v>
      </c>
      <c r="D1040">
        <v>1</v>
      </c>
      <c r="E1040" t="s">
        <v>1447</v>
      </c>
      <c r="F1040" t="s">
        <v>2145</v>
      </c>
      <c r="G1040" t="s">
        <v>1806</v>
      </c>
      <c r="H1040" t="s">
        <v>2279</v>
      </c>
      <c r="I1040" t="s">
        <v>2279</v>
      </c>
      <c r="J1040">
        <v>699</v>
      </c>
      <c r="K1040" t="s">
        <v>2279</v>
      </c>
      <c r="L1040" t="s">
        <v>2279</v>
      </c>
      <c r="M1040" t="s">
        <v>2279</v>
      </c>
      <c r="N1040" t="s">
        <v>2279</v>
      </c>
      <c r="O1040" s="190" t="str">
        <f>"["&amp;$C1040&amp;"]["&amp;$D1040&amp;"]["&amp;$F1040&amp;"]"</f>
        <v>[S09_RegistryAccountAnnualFees][1][AnnualFeeAmount]</v>
      </c>
    </row>
    <row r="1041" spans="1:15" x14ac:dyDescent="0.3">
      <c r="A1041" t="s">
        <v>2277</v>
      </c>
      <c r="B1041" t="s">
        <v>2136</v>
      </c>
      <c r="C1041" t="s">
        <v>2143</v>
      </c>
      <c r="D1041">
        <v>2</v>
      </c>
      <c r="E1041" t="s">
        <v>1447</v>
      </c>
      <c r="F1041" t="s">
        <v>2145</v>
      </c>
      <c r="G1041" t="s">
        <v>1806</v>
      </c>
      <c r="H1041" t="s">
        <v>2279</v>
      </c>
      <c r="I1041" t="s">
        <v>2279</v>
      </c>
      <c r="J1041">
        <v>2.7E-2</v>
      </c>
      <c r="K1041" t="s">
        <v>2279</v>
      </c>
      <c r="L1041" t="s">
        <v>2279</v>
      </c>
      <c r="M1041" t="s">
        <v>2279</v>
      </c>
      <c r="N1041" t="s">
        <v>2279</v>
      </c>
      <c r="O1041" s="190" t="str">
        <f>"["&amp;$C1041&amp;"]["&amp;$D1041&amp;"]["&amp;$F1041&amp;"]"</f>
        <v>[S09_RegistryAccountAnnualFees][2][AnnualFeeAmount]</v>
      </c>
    </row>
    <row r="1042" spans="1:15" x14ac:dyDescent="0.3">
      <c r="A1042" t="s">
        <v>2277</v>
      </c>
      <c r="B1042" t="s">
        <v>2146</v>
      </c>
      <c r="C1042" t="s">
        <v>2147</v>
      </c>
      <c r="D1042">
        <v>1</v>
      </c>
      <c r="E1042" t="s">
        <v>1447</v>
      </c>
      <c r="F1042" t="s">
        <v>2148</v>
      </c>
      <c r="G1042" t="s">
        <v>1759</v>
      </c>
      <c r="H1042" t="s">
        <v>2279</v>
      </c>
      <c r="I1042" t="s">
        <v>2279</v>
      </c>
      <c r="J1042" t="s">
        <v>2279</v>
      </c>
      <c r="K1042" t="s">
        <v>2279</v>
      </c>
      <c r="L1042" t="s">
        <v>1447</v>
      </c>
      <c r="M1042" t="s">
        <v>2279</v>
      </c>
      <c r="N1042" t="s">
        <v>2279</v>
      </c>
      <c r="O1042" s="190" t="str">
        <f>"["&amp;$C1042&amp;"]["&amp;$D1042&amp;"]["&amp;$F1042&amp;"]"</f>
        <v>[S10_InstallationsComplianceMeasures][1][ComplianceMeasuresYesNo]</v>
      </c>
    </row>
    <row r="1043" spans="1:15" x14ac:dyDescent="0.3">
      <c r="A1043" t="s">
        <v>2277</v>
      </c>
      <c r="B1043" t="s">
        <v>2146</v>
      </c>
      <c r="C1043" t="s">
        <v>2147</v>
      </c>
      <c r="D1043">
        <v>2</v>
      </c>
      <c r="E1043" t="s">
        <v>1447</v>
      </c>
      <c r="F1043" t="s">
        <v>2148</v>
      </c>
      <c r="G1043" t="s">
        <v>1759</v>
      </c>
      <c r="H1043" t="s">
        <v>2279</v>
      </c>
      <c r="I1043" t="s">
        <v>2279</v>
      </c>
      <c r="J1043" t="s">
        <v>2279</v>
      </c>
      <c r="K1043" t="s">
        <v>2279</v>
      </c>
      <c r="L1043" t="s">
        <v>1447</v>
      </c>
      <c r="M1043" t="s">
        <v>2279</v>
      </c>
      <c r="N1043" t="s">
        <v>2279</v>
      </c>
      <c r="O1043" s="190" t="str">
        <f>"["&amp;$C1043&amp;"]["&amp;$D1043&amp;"]["&amp;$F1043&amp;"]"</f>
        <v>[S10_InstallationsComplianceMeasures][2][ComplianceMeasuresYesNo]</v>
      </c>
    </row>
    <row r="1044" spans="1:15" x14ac:dyDescent="0.3">
      <c r="A1044" t="s">
        <v>2277</v>
      </c>
      <c r="B1044" t="s">
        <v>2146</v>
      </c>
      <c r="C1044" t="s">
        <v>2147</v>
      </c>
      <c r="D1044">
        <v>3</v>
      </c>
      <c r="E1044" t="s">
        <v>1447</v>
      </c>
      <c r="F1044" t="s">
        <v>2148</v>
      </c>
      <c r="G1044" t="s">
        <v>1759</v>
      </c>
      <c r="H1044" t="s">
        <v>2279</v>
      </c>
      <c r="I1044" t="s">
        <v>2279</v>
      </c>
      <c r="J1044" t="s">
        <v>2279</v>
      </c>
      <c r="K1044" t="s">
        <v>2279</v>
      </c>
      <c r="L1044" t="s">
        <v>1419</v>
      </c>
      <c r="M1044" t="s">
        <v>2279</v>
      </c>
      <c r="N1044" t="s">
        <v>2279</v>
      </c>
      <c r="O1044" s="190" t="str">
        <f>"["&amp;$C1044&amp;"]["&amp;$D1044&amp;"]["&amp;$F1044&amp;"]"</f>
        <v>[S10_InstallationsComplianceMeasures][3][ComplianceMeasuresYesNo]</v>
      </c>
    </row>
    <row r="1045" spans="1:15" x14ac:dyDescent="0.3">
      <c r="A1045" t="s">
        <v>2277</v>
      </c>
      <c r="B1045" t="s">
        <v>2146</v>
      </c>
      <c r="C1045" t="s">
        <v>2147</v>
      </c>
      <c r="D1045">
        <v>4</v>
      </c>
      <c r="E1045" t="s">
        <v>1447</v>
      </c>
      <c r="F1045" t="s">
        <v>2148</v>
      </c>
      <c r="G1045" t="s">
        <v>1759</v>
      </c>
      <c r="H1045" t="s">
        <v>2279</v>
      </c>
      <c r="I1045" t="s">
        <v>2279</v>
      </c>
      <c r="J1045" t="s">
        <v>2279</v>
      </c>
      <c r="K1045" t="s">
        <v>2279</v>
      </c>
      <c r="L1045" t="s">
        <v>1419</v>
      </c>
      <c r="M1045" t="s">
        <v>2279</v>
      </c>
      <c r="N1045" t="s">
        <v>2279</v>
      </c>
      <c r="O1045" s="190" t="str">
        <f>"["&amp;$C1045&amp;"]["&amp;$D1045&amp;"]["&amp;$F1045&amp;"]"</f>
        <v>[S10_InstallationsComplianceMeasures][4][ComplianceMeasuresYesNo]</v>
      </c>
    </row>
    <row r="1046" spans="1:15" x14ac:dyDescent="0.3">
      <c r="A1046" t="s">
        <v>2277</v>
      </c>
      <c r="B1046" t="s">
        <v>2146</v>
      </c>
      <c r="C1046" t="s">
        <v>2147</v>
      </c>
      <c r="D1046">
        <v>1</v>
      </c>
      <c r="E1046" t="s">
        <v>1447</v>
      </c>
      <c r="F1046" t="s">
        <v>2149</v>
      </c>
      <c r="G1046" t="s">
        <v>1791</v>
      </c>
      <c r="H1046" t="s">
        <v>2279</v>
      </c>
      <c r="I1046" t="s">
        <v>2279</v>
      </c>
      <c r="J1046" t="s">
        <v>2279</v>
      </c>
      <c r="K1046" t="s">
        <v>2391</v>
      </c>
      <c r="L1046" t="s">
        <v>2279</v>
      </c>
      <c r="M1046" t="s">
        <v>2279</v>
      </c>
      <c r="N1046" t="s">
        <v>2279</v>
      </c>
      <c r="O1046" s="190" t="str">
        <f>"["&amp;$C1046&amp;"]["&amp;$D1046&amp;"]["&amp;$F1046&amp;"]"</f>
        <v>[S10_InstallationsComplianceMeasures][1][ComplianceMeasuresComment]</v>
      </c>
    </row>
    <row r="1047" spans="1:15" x14ac:dyDescent="0.3">
      <c r="A1047" t="s">
        <v>2277</v>
      </c>
      <c r="B1047" t="s">
        <v>2146</v>
      </c>
      <c r="C1047" t="s">
        <v>2147</v>
      </c>
      <c r="D1047">
        <v>2</v>
      </c>
      <c r="E1047" t="s">
        <v>1447</v>
      </c>
      <c r="F1047" t="s">
        <v>2149</v>
      </c>
      <c r="G1047" t="s">
        <v>1791</v>
      </c>
      <c r="H1047" t="s">
        <v>2279</v>
      </c>
      <c r="I1047" t="s">
        <v>2279</v>
      </c>
      <c r="J1047" t="s">
        <v>2279</v>
      </c>
      <c r="K1047" t="s">
        <v>2392</v>
      </c>
      <c r="L1047" t="s">
        <v>2279</v>
      </c>
      <c r="M1047" t="s">
        <v>2279</v>
      </c>
      <c r="N1047" t="s">
        <v>2279</v>
      </c>
      <c r="O1047" s="190" t="str">
        <f>"["&amp;$C1047&amp;"]["&amp;$D1047&amp;"]["&amp;$F1047&amp;"]"</f>
        <v>[S10_InstallationsComplianceMeasures][2][ComplianceMeasuresComment]</v>
      </c>
    </row>
    <row r="1048" spans="1:15" x14ac:dyDescent="0.3">
      <c r="A1048" t="s">
        <v>2277</v>
      </c>
      <c r="B1048" t="s">
        <v>2146</v>
      </c>
      <c r="C1048" t="s">
        <v>2147</v>
      </c>
      <c r="D1048">
        <v>3</v>
      </c>
      <c r="E1048" t="s">
        <v>1447</v>
      </c>
      <c r="F1048" t="s">
        <v>2149</v>
      </c>
      <c r="G1048" t="s">
        <v>1791</v>
      </c>
      <c r="H1048" t="s">
        <v>2279</v>
      </c>
      <c r="I1048" t="s">
        <v>2279</v>
      </c>
      <c r="J1048" t="s">
        <v>2279</v>
      </c>
      <c r="K1048" t="s">
        <v>2393</v>
      </c>
      <c r="L1048" t="s">
        <v>2279</v>
      </c>
      <c r="M1048" t="s">
        <v>2279</v>
      </c>
      <c r="N1048" t="s">
        <v>2279</v>
      </c>
      <c r="O1048" s="190" t="str">
        <f>"["&amp;$C1048&amp;"]["&amp;$D1048&amp;"]["&amp;$F1048&amp;"]"</f>
        <v>[S10_InstallationsComplianceMeasures][3][ComplianceMeasuresComment]</v>
      </c>
    </row>
    <row r="1049" spans="1:15" x14ac:dyDescent="0.3">
      <c r="A1049" t="s">
        <v>2277</v>
      </c>
      <c r="B1049" t="s">
        <v>2146</v>
      </c>
      <c r="C1049" t="s">
        <v>2147</v>
      </c>
      <c r="D1049">
        <v>4</v>
      </c>
      <c r="E1049" t="s">
        <v>1447</v>
      </c>
      <c r="F1049" t="s">
        <v>2149</v>
      </c>
      <c r="G1049" t="s">
        <v>1791</v>
      </c>
      <c r="H1049" t="s">
        <v>2279</v>
      </c>
      <c r="I1049" t="s">
        <v>2279</v>
      </c>
      <c r="J1049" t="s">
        <v>2279</v>
      </c>
      <c r="K1049" t="s">
        <v>2394</v>
      </c>
      <c r="L1049" t="s">
        <v>2279</v>
      </c>
      <c r="M1049" t="s">
        <v>2279</v>
      </c>
      <c r="N1049" t="s">
        <v>2279</v>
      </c>
      <c r="O1049" s="190" t="str">
        <f>"["&amp;$C1049&amp;"]["&amp;$D1049&amp;"]["&amp;$F1049&amp;"]"</f>
        <v>[S10_InstallationsComplianceMeasures][4][ComplianceMeasuresComment]</v>
      </c>
    </row>
    <row r="1050" spans="1:15" x14ac:dyDescent="0.3">
      <c r="A1050" t="s">
        <v>2277</v>
      </c>
      <c r="B1050" t="s">
        <v>2151</v>
      </c>
      <c r="C1050" t="s">
        <v>2152</v>
      </c>
      <c r="D1050">
        <v>1</v>
      </c>
      <c r="E1050" t="s">
        <v>1447</v>
      </c>
      <c r="F1050" t="s">
        <v>2113</v>
      </c>
      <c r="G1050" t="s">
        <v>1806</v>
      </c>
      <c r="H1050" t="s">
        <v>2279</v>
      </c>
      <c r="I1050" t="s">
        <v>2279</v>
      </c>
      <c r="J1050">
        <v>0</v>
      </c>
      <c r="K1050" t="s">
        <v>2279</v>
      </c>
      <c r="L1050" t="s">
        <v>2279</v>
      </c>
      <c r="M1050" t="s">
        <v>2279</v>
      </c>
      <c r="N1050" t="s">
        <v>2279</v>
      </c>
      <c r="O1050" s="190" t="str">
        <f>"["&amp;$C1050&amp;"]["&amp;$D1050&amp;"]["&amp;$F1050&amp;"]"</f>
        <v>[S10_InstallationsInfringementPenalties][1][PrisonMin]</v>
      </c>
    </row>
    <row r="1051" spans="1:15" x14ac:dyDescent="0.3">
      <c r="A1051" t="s">
        <v>2277</v>
      </c>
      <c r="B1051" t="s">
        <v>2151</v>
      </c>
      <c r="C1051" t="s">
        <v>2152</v>
      </c>
      <c r="D1051">
        <v>2</v>
      </c>
      <c r="E1051" t="s">
        <v>1447</v>
      </c>
      <c r="F1051" t="s">
        <v>2113</v>
      </c>
      <c r="G1051" t="s">
        <v>1806</v>
      </c>
      <c r="H1051" t="s">
        <v>2279</v>
      </c>
      <c r="I1051" t="s">
        <v>2279</v>
      </c>
      <c r="J1051">
        <v>0</v>
      </c>
      <c r="K1051" t="s">
        <v>2279</v>
      </c>
      <c r="L1051" t="s">
        <v>2279</v>
      </c>
      <c r="M1051" t="s">
        <v>2279</v>
      </c>
      <c r="N1051" t="s">
        <v>2279</v>
      </c>
      <c r="O1051" s="190" t="str">
        <f>"["&amp;$C1051&amp;"]["&amp;$D1051&amp;"]["&amp;$F1051&amp;"]"</f>
        <v>[S10_InstallationsInfringementPenalties][2][PrisonMin]</v>
      </c>
    </row>
    <row r="1052" spans="1:15" x14ac:dyDescent="0.3">
      <c r="A1052" t="s">
        <v>2277</v>
      </c>
      <c r="B1052" t="s">
        <v>2151</v>
      </c>
      <c r="C1052" t="s">
        <v>2152</v>
      </c>
      <c r="D1052">
        <v>3</v>
      </c>
      <c r="E1052" t="s">
        <v>1447</v>
      </c>
      <c r="F1052" t="s">
        <v>2113</v>
      </c>
      <c r="G1052" t="s">
        <v>1806</v>
      </c>
      <c r="H1052" t="s">
        <v>2279</v>
      </c>
      <c r="I1052" t="s">
        <v>2279</v>
      </c>
      <c r="J1052">
        <v>0</v>
      </c>
      <c r="K1052" t="s">
        <v>2279</v>
      </c>
      <c r="L1052" t="s">
        <v>2279</v>
      </c>
      <c r="M1052" t="s">
        <v>2279</v>
      </c>
      <c r="N1052" t="s">
        <v>2279</v>
      </c>
      <c r="O1052" s="190" t="str">
        <f>"["&amp;$C1052&amp;"]["&amp;$D1052&amp;"]["&amp;$F1052&amp;"]"</f>
        <v>[S10_InstallationsInfringementPenalties][3][PrisonMin]</v>
      </c>
    </row>
    <row r="1053" spans="1:15" x14ac:dyDescent="0.3">
      <c r="A1053" t="s">
        <v>2277</v>
      </c>
      <c r="B1053" t="s">
        <v>2151</v>
      </c>
      <c r="C1053" t="s">
        <v>2152</v>
      </c>
      <c r="D1053">
        <v>4</v>
      </c>
      <c r="E1053" t="s">
        <v>1447</v>
      </c>
      <c r="F1053" t="s">
        <v>2113</v>
      </c>
      <c r="G1053" t="s">
        <v>1806</v>
      </c>
      <c r="H1053" t="s">
        <v>2279</v>
      </c>
      <c r="I1053" t="s">
        <v>2279</v>
      </c>
      <c r="J1053">
        <v>0</v>
      </c>
      <c r="K1053" t="s">
        <v>2279</v>
      </c>
      <c r="L1053" t="s">
        <v>2279</v>
      </c>
      <c r="M1053" t="s">
        <v>2279</v>
      </c>
      <c r="N1053" t="s">
        <v>2279</v>
      </c>
      <c r="O1053" s="190" t="str">
        <f>"["&amp;$C1053&amp;"]["&amp;$D1053&amp;"]["&amp;$F1053&amp;"]"</f>
        <v>[S10_InstallationsInfringementPenalties][4][PrisonMin]</v>
      </c>
    </row>
    <row r="1054" spans="1:15" x14ac:dyDescent="0.3">
      <c r="A1054" t="s">
        <v>2277</v>
      </c>
      <c r="B1054" t="s">
        <v>2151</v>
      </c>
      <c r="C1054" t="s">
        <v>2152</v>
      </c>
      <c r="D1054">
        <v>5</v>
      </c>
      <c r="E1054" t="s">
        <v>1447</v>
      </c>
      <c r="F1054" t="s">
        <v>2113</v>
      </c>
      <c r="G1054" t="s">
        <v>1806</v>
      </c>
      <c r="H1054" t="s">
        <v>2279</v>
      </c>
      <c r="I1054" t="s">
        <v>2279</v>
      </c>
      <c r="J1054">
        <v>0</v>
      </c>
      <c r="K1054" t="s">
        <v>2279</v>
      </c>
      <c r="L1054" t="s">
        <v>2279</v>
      </c>
      <c r="M1054" t="s">
        <v>2279</v>
      </c>
      <c r="N1054" t="s">
        <v>2279</v>
      </c>
      <c r="O1054" s="190" t="str">
        <f>"["&amp;$C1054&amp;"]["&amp;$D1054&amp;"]["&amp;$F1054&amp;"]"</f>
        <v>[S10_InstallationsInfringementPenalties][5][PrisonMin]</v>
      </c>
    </row>
    <row r="1055" spans="1:15" x14ac:dyDescent="0.3">
      <c r="A1055" t="s">
        <v>2277</v>
      </c>
      <c r="B1055" t="s">
        <v>2151</v>
      </c>
      <c r="C1055" t="s">
        <v>2152</v>
      </c>
      <c r="D1055">
        <v>6</v>
      </c>
      <c r="E1055" t="s">
        <v>1447</v>
      </c>
      <c r="F1055" t="s">
        <v>2113</v>
      </c>
      <c r="G1055" t="s">
        <v>1806</v>
      </c>
      <c r="H1055" t="s">
        <v>2279</v>
      </c>
      <c r="I1055" t="s">
        <v>2279</v>
      </c>
      <c r="J1055">
        <v>0</v>
      </c>
      <c r="K1055" t="s">
        <v>2279</v>
      </c>
      <c r="L1055" t="s">
        <v>2279</v>
      </c>
      <c r="M1055" t="s">
        <v>2279</v>
      </c>
      <c r="N1055" t="s">
        <v>2279</v>
      </c>
      <c r="O1055" s="190" t="str">
        <f>"["&amp;$C1055&amp;"]["&amp;$D1055&amp;"]["&amp;$F1055&amp;"]"</f>
        <v>[S10_InstallationsInfringementPenalties][6][PrisonMin]</v>
      </c>
    </row>
    <row r="1056" spans="1:15" x14ac:dyDescent="0.3">
      <c r="A1056" t="s">
        <v>2277</v>
      </c>
      <c r="B1056" t="s">
        <v>2151</v>
      </c>
      <c r="C1056" t="s">
        <v>2152</v>
      </c>
      <c r="D1056">
        <v>7</v>
      </c>
      <c r="E1056" t="s">
        <v>1447</v>
      </c>
      <c r="F1056" t="s">
        <v>2113</v>
      </c>
      <c r="G1056" t="s">
        <v>1806</v>
      </c>
      <c r="H1056" t="s">
        <v>2279</v>
      </c>
      <c r="I1056" t="s">
        <v>2279</v>
      </c>
      <c r="J1056">
        <v>0</v>
      </c>
      <c r="K1056" t="s">
        <v>2279</v>
      </c>
      <c r="L1056" t="s">
        <v>2279</v>
      </c>
      <c r="M1056" t="s">
        <v>2279</v>
      </c>
      <c r="N1056" t="s">
        <v>2279</v>
      </c>
      <c r="O1056" s="190" t="str">
        <f>"["&amp;$C1056&amp;"]["&amp;$D1056&amp;"]["&amp;$F1056&amp;"]"</f>
        <v>[S10_InstallationsInfringementPenalties][7][PrisonMin]</v>
      </c>
    </row>
    <row r="1057" spans="1:15" x14ac:dyDescent="0.3">
      <c r="A1057" t="s">
        <v>2277</v>
      </c>
      <c r="B1057" t="s">
        <v>2151</v>
      </c>
      <c r="C1057" t="s">
        <v>2152</v>
      </c>
      <c r="D1057">
        <v>8</v>
      </c>
      <c r="E1057" t="s">
        <v>1447</v>
      </c>
      <c r="F1057" t="s">
        <v>2113</v>
      </c>
      <c r="G1057" t="s">
        <v>1806</v>
      </c>
      <c r="H1057" t="s">
        <v>2279</v>
      </c>
      <c r="I1057" t="s">
        <v>2279</v>
      </c>
      <c r="J1057">
        <v>0</v>
      </c>
      <c r="K1057" t="s">
        <v>2279</v>
      </c>
      <c r="L1057" t="s">
        <v>2279</v>
      </c>
      <c r="M1057" t="s">
        <v>2279</v>
      </c>
      <c r="N1057" t="s">
        <v>2279</v>
      </c>
      <c r="O1057" s="190" t="str">
        <f>"["&amp;$C1057&amp;"]["&amp;$D1057&amp;"]["&amp;$F1057&amp;"]"</f>
        <v>[S10_InstallationsInfringementPenalties][8][PrisonMin]</v>
      </c>
    </row>
    <row r="1058" spans="1:15" x14ac:dyDescent="0.3">
      <c r="A1058" t="s">
        <v>2277</v>
      </c>
      <c r="B1058" t="s">
        <v>2151</v>
      </c>
      <c r="C1058" t="s">
        <v>2152</v>
      </c>
      <c r="D1058">
        <v>9</v>
      </c>
      <c r="E1058" t="s">
        <v>1447</v>
      </c>
      <c r="F1058" t="s">
        <v>2113</v>
      </c>
      <c r="G1058" t="s">
        <v>1806</v>
      </c>
      <c r="H1058" t="s">
        <v>2279</v>
      </c>
      <c r="I1058" t="s">
        <v>2279</v>
      </c>
      <c r="J1058">
        <v>0</v>
      </c>
      <c r="K1058" t="s">
        <v>2279</v>
      </c>
      <c r="L1058" t="s">
        <v>2279</v>
      </c>
      <c r="M1058" t="s">
        <v>2279</v>
      </c>
      <c r="N1058" t="s">
        <v>2279</v>
      </c>
      <c r="O1058" s="190" t="str">
        <f>"["&amp;$C1058&amp;"]["&amp;$D1058&amp;"]["&amp;$F1058&amp;"]"</f>
        <v>[S10_InstallationsInfringementPenalties][9][PrisonMin]</v>
      </c>
    </row>
    <row r="1059" spans="1:15" x14ac:dyDescent="0.3">
      <c r="A1059" t="s">
        <v>2277</v>
      </c>
      <c r="B1059" t="s">
        <v>2151</v>
      </c>
      <c r="C1059" t="s">
        <v>2152</v>
      </c>
      <c r="D1059">
        <v>10</v>
      </c>
      <c r="E1059" t="s">
        <v>1447</v>
      </c>
      <c r="F1059" t="s">
        <v>2113</v>
      </c>
      <c r="G1059" t="s">
        <v>1806</v>
      </c>
      <c r="H1059" t="s">
        <v>2279</v>
      </c>
      <c r="I1059" t="s">
        <v>2279</v>
      </c>
      <c r="J1059">
        <v>0</v>
      </c>
      <c r="K1059" t="s">
        <v>2279</v>
      </c>
      <c r="L1059" t="s">
        <v>2279</v>
      </c>
      <c r="M1059" t="s">
        <v>2279</v>
      </c>
      <c r="N1059" t="s">
        <v>2279</v>
      </c>
      <c r="O1059" s="190" t="str">
        <f>"["&amp;$C1059&amp;"]["&amp;$D1059&amp;"]["&amp;$F1059&amp;"]"</f>
        <v>[S10_InstallationsInfringementPenalties][10][PrisonMin]</v>
      </c>
    </row>
    <row r="1060" spans="1:15" x14ac:dyDescent="0.3">
      <c r="A1060" t="s">
        <v>2277</v>
      </c>
      <c r="B1060" t="s">
        <v>2151</v>
      </c>
      <c r="C1060" t="s">
        <v>2152</v>
      </c>
      <c r="D1060">
        <v>11</v>
      </c>
      <c r="E1060" t="s">
        <v>1447</v>
      </c>
      <c r="F1060" t="s">
        <v>2113</v>
      </c>
      <c r="G1060" t="s">
        <v>1806</v>
      </c>
      <c r="H1060" t="s">
        <v>2279</v>
      </c>
      <c r="I1060" t="s">
        <v>2279</v>
      </c>
      <c r="J1060">
        <v>0</v>
      </c>
      <c r="K1060" t="s">
        <v>2279</v>
      </c>
      <c r="L1060" t="s">
        <v>2279</v>
      </c>
      <c r="M1060" t="s">
        <v>2279</v>
      </c>
      <c r="N1060" t="s">
        <v>2279</v>
      </c>
      <c r="O1060" s="190" t="str">
        <f>"["&amp;$C1060&amp;"]["&amp;$D1060&amp;"]["&amp;$F1060&amp;"]"</f>
        <v>[S10_InstallationsInfringementPenalties][11][PrisonMin]</v>
      </c>
    </row>
    <row r="1061" spans="1:15" x14ac:dyDescent="0.3">
      <c r="A1061" t="s">
        <v>2277</v>
      </c>
      <c r="B1061" t="s">
        <v>2151</v>
      </c>
      <c r="C1061" t="s">
        <v>2152</v>
      </c>
      <c r="D1061">
        <v>1</v>
      </c>
      <c r="E1061" t="s">
        <v>1447</v>
      </c>
      <c r="F1061" t="s">
        <v>2114</v>
      </c>
      <c r="G1061" t="s">
        <v>1806</v>
      </c>
      <c r="H1061" t="s">
        <v>2279</v>
      </c>
      <c r="I1061" t="s">
        <v>2279</v>
      </c>
      <c r="J1061">
        <v>24</v>
      </c>
      <c r="K1061" t="s">
        <v>2279</v>
      </c>
      <c r="L1061" t="s">
        <v>2279</v>
      </c>
      <c r="M1061" t="s">
        <v>2279</v>
      </c>
      <c r="N1061" t="s">
        <v>2279</v>
      </c>
      <c r="O1061" s="190" t="str">
        <f>"["&amp;$C1061&amp;"]["&amp;$D1061&amp;"]["&amp;$F1061&amp;"]"</f>
        <v>[S10_InstallationsInfringementPenalties][1][PrisonMax]</v>
      </c>
    </row>
    <row r="1062" spans="1:15" x14ac:dyDescent="0.3">
      <c r="A1062" t="s">
        <v>2277</v>
      </c>
      <c r="B1062" t="s">
        <v>2151</v>
      </c>
      <c r="C1062" t="s">
        <v>2152</v>
      </c>
      <c r="D1062">
        <v>2</v>
      </c>
      <c r="E1062" t="s">
        <v>1447</v>
      </c>
      <c r="F1062" t="s">
        <v>2114</v>
      </c>
      <c r="G1062" t="s">
        <v>1806</v>
      </c>
      <c r="H1062" t="s">
        <v>2279</v>
      </c>
      <c r="I1062" t="s">
        <v>2279</v>
      </c>
      <c r="J1062">
        <v>24</v>
      </c>
      <c r="K1062" t="s">
        <v>2279</v>
      </c>
      <c r="L1062" t="s">
        <v>2279</v>
      </c>
      <c r="M1062" t="s">
        <v>2279</v>
      </c>
      <c r="N1062" t="s">
        <v>2279</v>
      </c>
      <c r="O1062" s="190" t="str">
        <f>"["&amp;$C1062&amp;"]["&amp;$D1062&amp;"]["&amp;$F1062&amp;"]"</f>
        <v>[S10_InstallationsInfringementPenalties][2][PrisonMax]</v>
      </c>
    </row>
    <row r="1063" spans="1:15" x14ac:dyDescent="0.3">
      <c r="A1063" t="s">
        <v>2277</v>
      </c>
      <c r="B1063" t="s">
        <v>2151</v>
      </c>
      <c r="C1063" t="s">
        <v>2152</v>
      </c>
      <c r="D1063">
        <v>3</v>
      </c>
      <c r="E1063" t="s">
        <v>1447</v>
      </c>
      <c r="F1063" t="s">
        <v>2114</v>
      </c>
      <c r="G1063" t="s">
        <v>1806</v>
      </c>
      <c r="H1063" t="s">
        <v>2279</v>
      </c>
      <c r="I1063" t="s">
        <v>2279</v>
      </c>
      <c r="J1063">
        <v>24</v>
      </c>
      <c r="K1063" t="s">
        <v>2279</v>
      </c>
      <c r="L1063" t="s">
        <v>2279</v>
      </c>
      <c r="M1063" t="s">
        <v>2279</v>
      </c>
      <c r="N1063" t="s">
        <v>2279</v>
      </c>
      <c r="O1063" s="190" t="str">
        <f>"["&amp;$C1063&amp;"]["&amp;$D1063&amp;"]["&amp;$F1063&amp;"]"</f>
        <v>[S10_InstallationsInfringementPenalties][3][PrisonMax]</v>
      </c>
    </row>
    <row r="1064" spans="1:15" x14ac:dyDescent="0.3">
      <c r="A1064" t="s">
        <v>2277</v>
      </c>
      <c r="B1064" t="s">
        <v>2151</v>
      </c>
      <c r="C1064" t="s">
        <v>2152</v>
      </c>
      <c r="D1064">
        <v>4</v>
      </c>
      <c r="E1064" t="s">
        <v>1447</v>
      </c>
      <c r="F1064" t="s">
        <v>2114</v>
      </c>
      <c r="G1064" t="s">
        <v>1806</v>
      </c>
      <c r="H1064" t="s">
        <v>2279</v>
      </c>
      <c r="I1064" t="s">
        <v>2279</v>
      </c>
      <c r="J1064">
        <v>24</v>
      </c>
      <c r="K1064" t="s">
        <v>2279</v>
      </c>
      <c r="L1064" t="s">
        <v>2279</v>
      </c>
      <c r="M1064" t="s">
        <v>2279</v>
      </c>
      <c r="N1064" t="s">
        <v>2279</v>
      </c>
      <c r="O1064" s="190" t="str">
        <f>"["&amp;$C1064&amp;"]["&amp;$D1064&amp;"]["&amp;$F1064&amp;"]"</f>
        <v>[S10_InstallationsInfringementPenalties][4][PrisonMax]</v>
      </c>
    </row>
    <row r="1065" spans="1:15" x14ac:dyDescent="0.3">
      <c r="A1065" t="s">
        <v>2277</v>
      </c>
      <c r="B1065" t="s">
        <v>2151</v>
      </c>
      <c r="C1065" t="s">
        <v>2152</v>
      </c>
      <c r="D1065">
        <v>5</v>
      </c>
      <c r="E1065" t="s">
        <v>1447</v>
      </c>
      <c r="F1065" t="s">
        <v>2114</v>
      </c>
      <c r="G1065" t="s">
        <v>1806</v>
      </c>
      <c r="H1065" t="s">
        <v>2279</v>
      </c>
      <c r="I1065" t="s">
        <v>2279</v>
      </c>
      <c r="J1065">
        <v>24</v>
      </c>
      <c r="K1065" t="s">
        <v>2279</v>
      </c>
      <c r="L1065" t="s">
        <v>2279</v>
      </c>
      <c r="M1065" t="s">
        <v>2279</v>
      </c>
      <c r="N1065" t="s">
        <v>2279</v>
      </c>
      <c r="O1065" s="190" t="str">
        <f>"["&amp;$C1065&amp;"]["&amp;$D1065&amp;"]["&amp;$F1065&amp;"]"</f>
        <v>[S10_InstallationsInfringementPenalties][5][PrisonMax]</v>
      </c>
    </row>
    <row r="1066" spans="1:15" x14ac:dyDescent="0.3">
      <c r="A1066" t="s">
        <v>2277</v>
      </c>
      <c r="B1066" t="s">
        <v>2151</v>
      </c>
      <c r="C1066" t="s">
        <v>2152</v>
      </c>
      <c r="D1066">
        <v>6</v>
      </c>
      <c r="E1066" t="s">
        <v>1447</v>
      </c>
      <c r="F1066" t="s">
        <v>2114</v>
      </c>
      <c r="G1066" t="s">
        <v>1806</v>
      </c>
      <c r="H1066" t="s">
        <v>2279</v>
      </c>
      <c r="I1066" t="s">
        <v>2279</v>
      </c>
      <c r="J1066">
        <v>24</v>
      </c>
      <c r="K1066" t="s">
        <v>2279</v>
      </c>
      <c r="L1066" t="s">
        <v>2279</v>
      </c>
      <c r="M1066" t="s">
        <v>2279</v>
      </c>
      <c r="N1066" t="s">
        <v>2279</v>
      </c>
      <c r="O1066" s="190" t="str">
        <f>"["&amp;$C1066&amp;"]["&amp;$D1066&amp;"]["&amp;$F1066&amp;"]"</f>
        <v>[S10_InstallationsInfringementPenalties][6][PrisonMax]</v>
      </c>
    </row>
    <row r="1067" spans="1:15" x14ac:dyDescent="0.3">
      <c r="A1067" t="s">
        <v>2277</v>
      </c>
      <c r="B1067" t="s">
        <v>2151</v>
      </c>
      <c r="C1067" t="s">
        <v>2152</v>
      </c>
      <c r="D1067">
        <v>7</v>
      </c>
      <c r="E1067" t="s">
        <v>1447</v>
      </c>
      <c r="F1067" t="s">
        <v>2114</v>
      </c>
      <c r="G1067" t="s">
        <v>1806</v>
      </c>
      <c r="H1067" t="s">
        <v>2279</v>
      </c>
      <c r="I1067" t="s">
        <v>2279</v>
      </c>
      <c r="J1067">
        <v>24</v>
      </c>
      <c r="K1067" t="s">
        <v>2279</v>
      </c>
      <c r="L1067" t="s">
        <v>2279</v>
      </c>
      <c r="M1067" t="s">
        <v>2279</v>
      </c>
      <c r="N1067" t="s">
        <v>2279</v>
      </c>
      <c r="O1067" s="190" t="str">
        <f>"["&amp;$C1067&amp;"]["&amp;$D1067&amp;"]["&amp;$F1067&amp;"]"</f>
        <v>[S10_InstallationsInfringementPenalties][7][PrisonMax]</v>
      </c>
    </row>
    <row r="1068" spans="1:15" x14ac:dyDescent="0.3">
      <c r="A1068" t="s">
        <v>2277</v>
      </c>
      <c r="B1068" t="s">
        <v>2151</v>
      </c>
      <c r="C1068" t="s">
        <v>2152</v>
      </c>
      <c r="D1068">
        <v>8</v>
      </c>
      <c r="E1068" t="s">
        <v>1447</v>
      </c>
      <c r="F1068" t="s">
        <v>2114</v>
      </c>
      <c r="G1068" t="s">
        <v>1806</v>
      </c>
      <c r="H1068" t="s">
        <v>2279</v>
      </c>
      <c r="I1068" t="s">
        <v>2279</v>
      </c>
      <c r="J1068">
        <v>24</v>
      </c>
      <c r="K1068" t="s">
        <v>2279</v>
      </c>
      <c r="L1068" t="s">
        <v>2279</v>
      </c>
      <c r="M1068" t="s">
        <v>2279</v>
      </c>
      <c r="N1068" t="s">
        <v>2279</v>
      </c>
      <c r="O1068" s="190" t="str">
        <f>"["&amp;$C1068&amp;"]["&amp;$D1068&amp;"]["&amp;$F1068&amp;"]"</f>
        <v>[S10_InstallationsInfringementPenalties][8][PrisonMax]</v>
      </c>
    </row>
    <row r="1069" spans="1:15" x14ac:dyDescent="0.3">
      <c r="A1069" t="s">
        <v>2277</v>
      </c>
      <c r="B1069" t="s">
        <v>2151</v>
      </c>
      <c r="C1069" t="s">
        <v>2152</v>
      </c>
      <c r="D1069">
        <v>9</v>
      </c>
      <c r="E1069" t="s">
        <v>1447</v>
      </c>
      <c r="F1069" t="s">
        <v>2114</v>
      </c>
      <c r="G1069" t="s">
        <v>1806</v>
      </c>
      <c r="H1069" t="s">
        <v>2279</v>
      </c>
      <c r="I1069" t="s">
        <v>2279</v>
      </c>
      <c r="J1069">
        <v>24</v>
      </c>
      <c r="K1069" t="s">
        <v>2279</v>
      </c>
      <c r="L1069" t="s">
        <v>2279</v>
      </c>
      <c r="M1069" t="s">
        <v>2279</v>
      </c>
      <c r="N1069" t="s">
        <v>2279</v>
      </c>
      <c r="O1069" s="190" t="str">
        <f>"["&amp;$C1069&amp;"]["&amp;$D1069&amp;"]["&amp;$F1069&amp;"]"</f>
        <v>[S10_InstallationsInfringementPenalties][9][PrisonMax]</v>
      </c>
    </row>
    <row r="1070" spans="1:15" x14ac:dyDescent="0.3">
      <c r="A1070" t="s">
        <v>2277</v>
      </c>
      <c r="B1070" t="s">
        <v>2151</v>
      </c>
      <c r="C1070" t="s">
        <v>2152</v>
      </c>
      <c r="D1070">
        <v>10</v>
      </c>
      <c r="E1070" t="s">
        <v>1447</v>
      </c>
      <c r="F1070" t="s">
        <v>2114</v>
      </c>
      <c r="G1070" t="s">
        <v>1806</v>
      </c>
      <c r="H1070" t="s">
        <v>2279</v>
      </c>
      <c r="I1070" t="s">
        <v>2279</v>
      </c>
      <c r="J1070">
        <v>24</v>
      </c>
      <c r="K1070" t="s">
        <v>2279</v>
      </c>
      <c r="L1070" t="s">
        <v>2279</v>
      </c>
      <c r="M1070" t="s">
        <v>2279</v>
      </c>
      <c r="N1070" t="s">
        <v>2279</v>
      </c>
      <c r="O1070" s="190" t="str">
        <f>"["&amp;$C1070&amp;"]["&amp;$D1070&amp;"]["&amp;$F1070&amp;"]"</f>
        <v>[S10_InstallationsInfringementPenalties][10][PrisonMax]</v>
      </c>
    </row>
    <row r="1071" spans="1:15" x14ac:dyDescent="0.3">
      <c r="A1071" t="s">
        <v>2277</v>
      </c>
      <c r="B1071" t="s">
        <v>2151</v>
      </c>
      <c r="C1071" t="s">
        <v>2152</v>
      </c>
      <c r="D1071">
        <v>11</v>
      </c>
      <c r="E1071" t="s">
        <v>1447</v>
      </c>
      <c r="F1071" t="s">
        <v>2114</v>
      </c>
      <c r="G1071" t="s">
        <v>1806</v>
      </c>
      <c r="H1071" t="s">
        <v>2279</v>
      </c>
      <c r="I1071" t="s">
        <v>2279</v>
      </c>
      <c r="J1071">
        <v>24</v>
      </c>
      <c r="K1071" t="s">
        <v>2279</v>
      </c>
      <c r="L1071" t="s">
        <v>2279</v>
      </c>
      <c r="M1071" t="s">
        <v>2279</v>
      </c>
      <c r="N1071" t="s">
        <v>2279</v>
      </c>
      <c r="O1071" s="190" t="str">
        <f>"["&amp;$C1071&amp;"]["&amp;$D1071&amp;"]["&amp;$F1071&amp;"]"</f>
        <v>[S10_InstallationsInfringementPenalties][11][PrisonMax]</v>
      </c>
    </row>
    <row r="1072" spans="1:15" x14ac:dyDescent="0.3">
      <c r="A1072" t="s">
        <v>2277</v>
      </c>
      <c r="B1072" t="s">
        <v>2151</v>
      </c>
      <c r="C1072" t="s">
        <v>2152</v>
      </c>
      <c r="D1072">
        <v>1</v>
      </c>
      <c r="E1072" t="s">
        <v>1447</v>
      </c>
      <c r="F1072" t="s">
        <v>2115</v>
      </c>
      <c r="G1072" t="s">
        <v>1791</v>
      </c>
      <c r="H1072" t="s">
        <v>2279</v>
      </c>
      <c r="I1072" t="s">
        <v>2279</v>
      </c>
      <c r="J1072" t="s">
        <v>2279</v>
      </c>
      <c r="K1072" t="s">
        <v>2395</v>
      </c>
      <c r="L1072" t="s">
        <v>2279</v>
      </c>
      <c r="M1072" t="s">
        <v>2279</v>
      </c>
      <c r="N1072" t="s">
        <v>2279</v>
      </c>
      <c r="O1072" s="190" t="str">
        <f>"["&amp;$C1072&amp;"]["&amp;$D1072&amp;"]["&amp;$F1072&amp;"]"</f>
        <v>[S10_InstallationsInfringementPenalties][1][OtherPenalty]</v>
      </c>
    </row>
    <row r="1073" spans="1:15" x14ac:dyDescent="0.3">
      <c r="A1073" t="s">
        <v>2277</v>
      </c>
      <c r="B1073" t="s">
        <v>2151</v>
      </c>
      <c r="C1073" t="s">
        <v>2152</v>
      </c>
      <c r="D1073">
        <v>2</v>
      </c>
      <c r="E1073" t="s">
        <v>1447</v>
      </c>
      <c r="F1073" t="s">
        <v>2115</v>
      </c>
      <c r="G1073" t="s">
        <v>1791</v>
      </c>
      <c r="H1073" t="s">
        <v>2279</v>
      </c>
      <c r="I1073" t="s">
        <v>2279</v>
      </c>
      <c r="J1073" t="s">
        <v>2279</v>
      </c>
      <c r="K1073" t="s">
        <v>2396</v>
      </c>
      <c r="L1073" t="s">
        <v>2279</v>
      </c>
      <c r="M1073" t="s">
        <v>2279</v>
      </c>
      <c r="N1073" t="s">
        <v>2279</v>
      </c>
      <c r="O1073" s="190" t="str">
        <f>"["&amp;$C1073&amp;"]["&amp;$D1073&amp;"]["&amp;$F1073&amp;"]"</f>
        <v>[S10_InstallationsInfringementPenalties][2][OtherPenalty]</v>
      </c>
    </row>
    <row r="1074" spans="1:15" x14ac:dyDescent="0.3">
      <c r="A1074" t="s">
        <v>2277</v>
      </c>
      <c r="B1074" t="s">
        <v>2151</v>
      </c>
      <c r="C1074" t="s">
        <v>2152</v>
      </c>
      <c r="D1074">
        <v>3</v>
      </c>
      <c r="E1074" t="s">
        <v>1447</v>
      </c>
      <c r="F1074" t="s">
        <v>2115</v>
      </c>
      <c r="G1074" t="s">
        <v>1791</v>
      </c>
      <c r="H1074" t="s">
        <v>2279</v>
      </c>
      <c r="I1074" t="s">
        <v>2279</v>
      </c>
      <c r="J1074" t="s">
        <v>2279</v>
      </c>
      <c r="K1074" t="s">
        <v>2396</v>
      </c>
      <c r="L1074" t="s">
        <v>2279</v>
      </c>
      <c r="M1074" t="s">
        <v>2279</v>
      </c>
      <c r="N1074" t="s">
        <v>2279</v>
      </c>
      <c r="O1074" s="190" t="str">
        <f>"["&amp;$C1074&amp;"]["&amp;$D1074&amp;"]["&amp;$F1074&amp;"]"</f>
        <v>[S10_InstallationsInfringementPenalties][3][OtherPenalty]</v>
      </c>
    </row>
    <row r="1075" spans="1:15" x14ac:dyDescent="0.3">
      <c r="A1075" t="s">
        <v>2277</v>
      </c>
      <c r="B1075" t="s">
        <v>2151</v>
      </c>
      <c r="C1075" t="s">
        <v>2152</v>
      </c>
      <c r="D1075">
        <v>4</v>
      </c>
      <c r="E1075" t="s">
        <v>1447</v>
      </c>
      <c r="F1075" t="s">
        <v>2115</v>
      </c>
      <c r="G1075" t="s">
        <v>1791</v>
      </c>
      <c r="H1075" t="s">
        <v>2279</v>
      </c>
      <c r="I1075" t="s">
        <v>2279</v>
      </c>
      <c r="J1075" t="s">
        <v>2279</v>
      </c>
      <c r="K1075" t="s">
        <v>2396</v>
      </c>
      <c r="L1075" t="s">
        <v>2279</v>
      </c>
      <c r="M1075" t="s">
        <v>2279</v>
      </c>
      <c r="N1075" t="s">
        <v>2279</v>
      </c>
      <c r="O1075" s="190" t="str">
        <f>"["&amp;$C1075&amp;"]["&amp;$D1075&amp;"]["&amp;$F1075&amp;"]"</f>
        <v>[S10_InstallationsInfringementPenalties][4][OtherPenalty]</v>
      </c>
    </row>
    <row r="1076" spans="1:15" x14ac:dyDescent="0.3">
      <c r="A1076" t="s">
        <v>2277</v>
      </c>
      <c r="B1076" t="s">
        <v>2151</v>
      </c>
      <c r="C1076" t="s">
        <v>2152</v>
      </c>
      <c r="D1076">
        <v>5</v>
      </c>
      <c r="E1076" t="s">
        <v>1447</v>
      </c>
      <c r="F1076" t="s">
        <v>2115</v>
      </c>
      <c r="G1076" t="s">
        <v>1791</v>
      </c>
      <c r="H1076" t="s">
        <v>2279</v>
      </c>
      <c r="I1076" t="s">
        <v>2279</v>
      </c>
      <c r="J1076" t="s">
        <v>2279</v>
      </c>
      <c r="K1076" t="s">
        <v>2396</v>
      </c>
      <c r="L1076" t="s">
        <v>2279</v>
      </c>
      <c r="M1076" t="s">
        <v>2279</v>
      </c>
      <c r="N1076" t="s">
        <v>2279</v>
      </c>
      <c r="O1076" s="190" t="str">
        <f>"["&amp;$C1076&amp;"]["&amp;$D1076&amp;"]["&amp;$F1076&amp;"]"</f>
        <v>[S10_InstallationsInfringementPenalties][5][OtherPenalty]</v>
      </c>
    </row>
    <row r="1077" spans="1:15" x14ac:dyDescent="0.3">
      <c r="A1077" t="s">
        <v>2277</v>
      </c>
      <c r="B1077" t="s">
        <v>2151</v>
      </c>
      <c r="C1077" t="s">
        <v>2152</v>
      </c>
      <c r="D1077">
        <v>6</v>
      </c>
      <c r="E1077" t="s">
        <v>1447</v>
      </c>
      <c r="F1077" t="s">
        <v>2115</v>
      </c>
      <c r="G1077" t="s">
        <v>1791</v>
      </c>
      <c r="H1077" t="s">
        <v>2279</v>
      </c>
      <c r="I1077" t="s">
        <v>2279</v>
      </c>
      <c r="J1077" t="s">
        <v>2279</v>
      </c>
      <c r="K1077" t="s">
        <v>2396</v>
      </c>
      <c r="L1077" t="s">
        <v>2279</v>
      </c>
      <c r="M1077" t="s">
        <v>2279</v>
      </c>
      <c r="N1077" t="s">
        <v>2279</v>
      </c>
      <c r="O1077" s="190" t="str">
        <f>"["&amp;$C1077&amp;"]["&amp;$D1077&amp;"]["&amp;$F1077&amp;"]"</f>
        <v>[S10_InstallationsInfringementPenalties][6][OtherPenalty]</v>
      </c>
    </row>
    <row r="1078" spans="1:15" x14ac:dyDescent="0.3">
      <c r="A1078" t="s">
        <v>2277</v>
      </c>
      <c r="B1078" t="s">
        <v>2151</v>
      </c>
      <c r="C1078" t="s">
        <v>2152</v>
      </c>
      <c r="D1078">
        <v>7</v>
      </c>
      <c r="E1078" t="s">
        <v>1447</v>
      </c>
      <c r="F1078" t="s">
        <v>2115</v>
      </c>
      <c r="G1078" t="s">
        <v>1791</v>
      </c>
      <c r="H1078" t="s">
        <v>2279</v>
      </c>
      <c r="I1078" t="s">
        <v>2279</v>
      </c>
      <c r="J1078" t="s">
        <v>2279</v>
      </c>
      <c r="K1078" t="s">
        <v>2396</v>
      </c>
      <c r="L1078" t="s">
        <v>2279</v>
      </c>
      <c r="M1078" t="s">
        <v>2279</v>
      </c>
      <c r="N1078" t="s">
        <v>2279</v>
      </c>
      <c r="O1078" s="190" t="str">
        <f>"["&amp;$C1078&amp;"]["&amp;$D1078&amp;"]["&amp;$F1078&amp;"]"</f>
        <v>[S10_InstallationsInfringementPenalties][7][OtherPenalty]</v>
      </c>
    </row>
    <row r="1079" spans="1:15" x14ac:dyDescent="0.3">
      <c r="A1079" t="s">
        <v>2277</v>
      </c>
      <c r="B1079" t="s">
        <v>2151</v>
      </c>
      <c r="C1079" t="s">
        <v>2152</v>
      </c>
      <c r="D1079">
        <v>8</v>
      </c>
      <c r="E1079" t="s">
        <v>1447</v>
      </c>
      <c r="F1079" t="s">
        <v>2115</v>
      </c>
      <c r="G1079" t="s">
        <v>1791</v>
      </c>
      <c r="H1079" t="s">
        <v>2279</v>
      </c>
      <c r="I1079" t="s">
        <v>2279</v>
      </c>
      <c r="J1079" t="s">
        <v>2279</v>
      </c>
      <c r="K1079" t="s">
        <v>2396</v>
      </c>
      <c r="L1079" t="s">
        <v>2279</v>
      </c>
      <c r="M1079" t="s">
        <v>2279</v>
      </c>
      <c r="N1079" t="s">
        <v>2279</v>
      </c>
      <c r="O1079" s="190" t="str">
        <f>"["&amp;$C1079&amp;"]["&amp;$D1079&amp;"]["&amp;$F1079&amp;"]"</f>
        <v>[S10_InstallationsInfringementPenalties][8][OtherPenalty]</v>
      </c>
    </row>
    <row r="1080" spans="1:15" x14ac:dyDescent="0.3">
      <c r="A1080" t="s">
        <v>2277</v>
      </c>
      <c r="B1080" t="s">
        <v>2151</v>
      </c>
      <c r="C1080" t="s">
        <v>2152</v>
      </c>
      <c r="D1080">
        <v>9</v>
      </c>
      <c r="E1080" t="s">
        <v>1447</v>
      </c>
      <c r="F1080" t="s">
        <v>2115</v>
      </c>
      <c r="G1080" t="s">
        <v>1791</v>
      </c>
      <c r="H1080" t="s">
        <v>2279</v>
      </c>
      <c r="I1080" t="s">
        <v>2279</v>
      </c>
      <c r="J1080" t="s">
        <v>2279</v>
      </c>
      <c r="K1080" t="s">
        <v>2396</v>
      </c>
      <c r="L1080" t="s">
        <v>2279</v>
      </c>
      <c r="M1080" t="s">
        <v>2279</v>
      </c>
      <c r="N1080" t="s">
        <v>2279</v>
      </c>
      <c r="O1080" s="190" t="str">
        <f>"["&amp;$C1080&amp;"]["&amp;$D1080&amp;"]["&amp;$F1080&amp;"]"</f>
        <v>[S10_InstallationsInfringementPenalties][9][OtherPenalty]</v>
      </c>
    </row>
    <row r="1081" spans="1:15" x14ac:dyDescent="0.3">
      <c r="A1081" t="s">
        <v>2277</v>
      </c>
      <c r="B1081" t="s">
        <v>2151</v>
      </c>
      <c r="C1081" t="s">
        <v>2152</v>
      </c>
      <c r="D1081">
        <v>10</v>
      </c>
      <c r="E1081" t="s">
        <v>1447</v>
      </c>
      <c r="F1081" t="s">
        <v>2115</v>
      </c>
      <c r="G1081" t="s">
        <v>1791</v>
      </c>
      <c r="H1081" t="s">
        <v>2279</v>
      </c>
      <c r="I1081" t="s">
        <v>2279</v>
      </c>
      <c r="J1081" t="s">
        <v>2279</v>
      </c>
      <c r="K1081" t="s">
        <v>2396</v>
      </c>
      <c r="L1081" t="s">
        <v>2279</v>
      </c>
      <c r="M1081" t="s">
        <v>2279</v>
      </c>
      <c r="N1081" t="s">
        <v>2279</v>
      </c>
      <c r="O1081" s="190" t="str">
        <f>"["&amp;$C1081&amp;"]["&amp;$D1081&amp;"]["&amp;$F1081&amp;"]"</f>
        <v>[S10_InstallationsInfringementPenalties][10][OtherPenalty]</v>
      </c>
    </row>
    <row r="1082" spans="1:15" x14ac:dyDescent="0.3">
      <c r="A1082" t="s">
        <v>2277</v>
      </c>
      <c r="B1082" t="s">
        <v>2151</v>
      </c>
      <c r="C1082" t="s">
        <v>2152</v>
      </c>
      <c r="D1082">
        <v>11</v>
      </c>
      <c r="E1082" t="s">
        <v>1447</v>
      </c>
      <c r="F1082" t="s">
        <v>2115</v>
      </c>
      <c r="G1082" t="s">
        <v>1791</v>
      </c>
      <c r="H1082" t="s">
        <v>2279</v>
      </c>
      <c r="I1082" t="s">
        <v>2279</v>
      </c>
      <c r="J1082" t="s">
        <v>2279</v>
      </c>
      <c r="K1082" t="s">
        <v>2396</v>
      </c>
      <c r="L1082" t="s">
        <v>2279</v>
      </c>
      <c r="M1082" t="s">
        <v>2279</v>
      </c>
      <c r="N1082" t="s">
        <v>2279</v>
      </c>
      <c r="O1082" s="190" t="str">
        <f>"["&amp;$C1082&amp;"]["&amp;$D1082&amp;"]["&amp;$F1082&amp;"]"</f>
        <v>[S10_InstallationsInfringementPenalties][11][OtherPenalty]</v>
      </c>
    </row>
    <row r="1083" spans="1:15" x14ac:dyDescent="0.3">
      <c r="A1083" t="s">
        <v>2277</v>
      </c>
      <c r="B1083" t="s">
        <v>2151</v>
      </c>
      <c r="C1083" t="s">
        <v>2153</v>
      </c>
      <c r="D1083">
        <v>0</v>
      </c>
      <c r="E1083" t="s">
        <v>1447</v>
      </c>
      <c r="F1083" t="s">
        <v>2153</v>
      </c>
      <c r="G1083" t="s">
        <v>1741</v>
      </c>
      <c r="H1083" t="s">
        <v>2397</v>
      </c>
      <c r="I1083" t="s">
        <v>2279</v>
      </c>
      <c r="J1083" t="s">
        <v>2279</v>
      </c>
      <c r="K1083" t="s">
        <v>2279</v>
      </c>
      <c r="L1083" t="s">
        <v>2279</v>
      </c>
      <c r="M1083" t="s">
        <v>2279</v>
      </c>
      <c r="N1083" t="s">
        <v>2279</v>
      </c>
      <c r="O1083" s="190" t="str">
        <f>"["&amp;$C1083&amp;"]["&amp;$D1083&amp;"]["&amp;$F1083&amp;"]"</f>
        <v>[InstallationsNationalLaw][0][InstallationsNationalLaw]</v>
      </c>
    </row>
    <row r="1084" spans="1:15" x14ac:dyDescent="0.3">
      <c r="A1084" t="s">
        <v>2277</v>
      </c>
      <c r="B1084" t="s">
        <v>2154</v>
      </c>
      <c r="C1084" t="s">
        <v>2155</v>
      </c>
      <c r="D1084">
        <v>1</v>
      </c>
      <c r="E1084" t="s">
        <v>1447</v>
      </c>
      <c r="F1084" t="s">
        <v>2119</v>
      </c>
      <c r="G1084" t="s">
        <v>1737</v>
      </c>
      <c r="H1084" t="s">
        <v>2279</v>
      </c>
      <c r="I1084" t="s">
        <v>2279</v>
      </c>
      <c r="J1084" t="s">
        <v>2279</v>
      </c>
      <c r="K1084" t="s">
        <v>2279</v>
      </c>
      <c r="L1084" t="s">
        <v>1294</v>
      </c>
      <c r="M1084" t="s">
        <v>2279</v>
      </c>
      <c r="N1084" t="s">
        <v>2279</v>
      </c>
      <c r="O1084" s="190" t="str">
        <f>"["&amp;$C1084&amp;"]["&amp;$D1084&amp;"]["&amp;$F1084&amp;"]"</f>
        <v>[S10_InstallationsPenaltiesImposed][1][InfringementType]</v>
      </c>
    </row>
    <row r="1085" spans="1:15" x14ac:dyDescent="0.3">
      <c r="A1085" t="s">
        <v>2277</v>
      </c>
      <c r="B1085" t="s">
        <v>2154</v>
      </c>
      <c r="C1085" t="s">
        <v>2155</v>
      </c>
      <c r="D1085">
        <v>1</v>
      </c>
      <c r="E1085" t="s">
        <v>1447</v>
      </c>
      <c r="F1085" t="s">
        <v>2123</v>
      </c>
      <c r="G1085" t="s">
        <v>1759</v>
      </c>
      <c r="H1085" t="s">
        <v>2279</v>
      </c>
      <c r="I1085" t="s">
        <v>2279</v>
      </c>
      <c r="J1085" t="s">
        <v>2279</v>
      </c>
      <c r="K1085" t="s">
        <v>2279</v>
      </c>
      <c r="L1085" t="s">
        <v>1419</v>
      </c>
      <c r="M1085" t="s">
        <v>2279</v>
      </c>
      <c r="N1085" t="s">
        <v>2279</v>
      </c>
      <c r="O1085" s="190" t="str">
        <f>"["&amp;$C1085&amp;"]["&amp;$D1085&amp;"]["&amp;$F1085&amp;"]"</f>
        <v>[S10_InstallationsPenaltiesImposed][1][OngoingProceedings]</v>
      </c>
    </row>
    <row r="1086" spans="1:15" x14ac:dyDescent="0.3">
      <c r="A1086" t="s">
        <v>2277</v>
      </c>
      <c r="B1086" t="s">
        <v>2154</v>
      </c>
      <c r="C1086" t="s">
        <v>2155</v>
      </c>
      <c r="D1086">
        <v>1</v>
      </c>
      <c r="E1086" t="s">
        <v>1447</v>
      </c>
      <c r="F1086" t="s">
        <v>2124</v>
      </c>
      <c r="G1086" t="s">
        <v>1759</v>
      </c>
      <c r="H1086" t="s">
        <v>2279</v>
      </c>
      <c r="I1086" t="s">
        <v>2279</v>
      </c>
      <c r="J1086" t="s">
        <v>2279</v>
      </c>
      <c r="K1086" t="s">
        <v>2279</v>
      </c>
      <c r="L1086" t="s">
        <v>1447</v>
      </c>
      <c r="M1086" t="s">
        <v>2279</v>
      </c>
      <c r="N1086" t="s">
        <v>2279</v>
      </c>
      <c r="O1086" s="190" t="str">
        <f>"["&amp;$C1086&amp;"]["&amp;$D1086&amp;"]["&amp;$F1086&amp;"]"</f>
        <v>[S10_InstallationsPenaltiesImposed][1][PenaltyEnforcedWithinPeriod]</v>
      </c>
    </row>
    <row r="1087" spans="1:15" x14ac:dyDescent="0.3">
      <c r="A1087" t="s">
        <v>2277</v>
      </c>
      <c r="B1087" t="s">
        <v>2154</v>
      </c>
      <c r="C1087" t="s">
        <v>2156</v>
      </c>
      <c r="D1087">
        <v>0</v>
      </c>
      <c r="E1087" t="s">
        <v>1447</v>
      </c>
      <c r="F1087" t="s">
        <v>2156</v>
      </c>
      <c r="G1087" t="s">
        <v>1759</v>
      </c>
      <c r="H1087" t="s">
        <v>2279</v>
      </c>
      <c r="I1087" t="s">
        <v>2279</v>
      </c>
      <c r="J1087" t="s">
        <v>2279</v>
      </c>
      <c r="K1087" t="s">
        <v>2279</v>
      </c>
      <c r="L1087" t="s">
        <v>1419</v>
      </c>
      <c r="M1087" t="s">
        <v>2279</v>
      </c>
      <c r="N1087" t="s">
        <v>2279</v>
      </c>
      <c r="O1087" s="190" t="str">
        <f>"["&amp;$C1087&amp;"]["&amp;$D1087&amp;"]["&amp;$F1087&amp;"]"</f>
        <v>[InstallationsPriorPenaltiesEnforced][0][InstallationsPriorPenaltiesEnforced]</v>
      </c>
    </row>
    <row r="1088" spans="1:15" x14ac:dyDescent="0.3">
      <c r="A1088" t="s">
        <v>2277</v>
      </c>
      <c r="B1088" t="s">
        <v>2154</v>
      </c>
      <c r="C1088" t="s">
        <v>2157</v>
      </c>
      <c r="D1088">
        <v>1</v>
      </c>
      <c r="E1088" t="s">
        <v>1447</v>
      </c>
      <c r="F1088" t="s">
        <v>2127</v>
      </c>
      <c r="G1088" t="s">
        <v>1741</v>
      </c>
      <c r="H1088" t="s">
        <v>2398</v>
      </c>
      <c r="I1088" t="s">
        <v>2279</v>
      </c>
      <c r="J1088" t="s">
        <v>2279</v>
      </c>
      <c r="K1088" t="s">
        <v>2279</v>
      </c>
      <c r="L1088" t="s">
        <v>2279</v>
      </c>
      <c r="M1088" t="s">
        <v>2279</v>
      </c>
      <c r="N1088" t="s">
        <v>2279</v>
      </c>
      <c r="O1088" s="190" t="str">
        <f>"["&amp;$C1088&amp;"]["&amp;$D1088&amp;"]["&amp;$F1088&amp;"]"</f>
        <v>[S10_InstallationsPriorPenaltiesEnforcedDetail][1][TypeInfringement]</v>
      </c>
    </row>
    <row r="1089" spans="1:15" x14ac:dyDescent="0.3">
      <c r="A1089" t="s">
        <v>2277</v>
      </c>
      <c r="B1089" t="s">
        <v>2154</v>
      </c>
      <c r="C1089" t="s">
        <v>2157</v>
      </c>
      <c r="D1089">
        <v>1</v>
      </c>
      <c r="E1089" t="s">
        <v>1447</v>
      </c>
      <c r="F1089" t="s">
        <v>2128</v>
      </c>
      <c r="G1089" t="s">
        <v>1737</v>
      </c>
      <c r="H1089" t="s">
        <v>2279</v>
      </c>
      <c r="I1089" t="s">
        <v>2279</v>
      </c>
      <c r="J1089" t="s">
        <v>2279</v>
      </c>
      <c r="K1089" t="s">
        <v>2279</v>
      </c>
      <c r="L1089" t="s">
        <v>1421</v>
      </c>
      <c r="M1089" t="s">
        <v>2279</v>
      </c>
      <c r="N1089" t="s">
        <v>2279</v>
      </c>
      <c r="O1089" s="190" t="str">
        <f>"["&amp;$C1089&amp;"]["&amp;$D1089&amp;"]["&amp;$F1089&amp;"]"</f>
        <v>[S10_InstallationsPriorPenaltiesEnforcedDetail][1][TypePenalty]</v>
      </c>
    </row>
    <row r="1090" spans="1:15" x14ac:dyDescent="0.3">
      <c r="A1090" t="s">
        <v>2277</v>
      </c>
      <c r="B1090" t="s">
        <v>2154</v>
      </c>
      <c r="C1090" t="s">
        <v>2157</v>
      </c>
      <c r="D1090">
        <v>1</v>
      </c>
      <c r="E1090" t="s">
        <v>1447</v>
      </c>
      <c r="F1090" t="s">
        <v>2129</v>
      </c>
      <c r="G1090" t="s">
        <v>1748</v>
      </c>
      <c r="H1090" t="s">
        <v>2279</v>
      </c>
      <c r="I1090">
        <v>2020</v>
      </c>
      <c r="J1090" t="s">
        <v>2279</v>
      </c>
      <c r="K1090" t="s">
        <v>2279</v>
      </c>
      <c r="L1090" t="s">
        <v>2279</v>
      </c>
      <c r="M1090" t="s">
        <v>2279</v>
      </c>
      <c r="N1090" t="s">
        <v>2279</v>
      </c>
      <c r="O1090" s="190" t="str">
        <f>"["&amp;$C1090&amp;"]["&amp;$D1090&amp;"]["&amp;$F1090&amp;"]"</f>
        <v>[S10_InstallationsPriorPenaltiesEnforcedDetail][1][ReportinYear]</v>
      </c>
    </row>
    <row r="1091" spans="1:15" x14ac:dyDescent="0.3">
      <c r="A1091" t="s">
        <v>2277</v>
      </c>
      <c r="B1091" t="s">
        <v>2158</v>
      </c>
      <c r="C1091" t="s">
        <v>2159</v>
      </c>
      <c r="D1091">
        <v>1</v>
      </c>
      <c r="E1091" t="s">
        <v>1447</v>
      </c>
      <c r="F1091" t="s">
        <v>1868</v>
      </c>
      <c r="G1091" t="s">
        <v>1741</v>
      </c>
      <c r="H1091" t="s">
        <v>2370</v>
      </c>
      <c r="I1091" t="s">
        <v>2279</v>
      </c>
      <c r="J1091" t="s">
        <v>2279</v>
      </c>
      <c r="K1091" t="s">
        <v>2279</v>
      </c>
      <c r="L1091" t="s">
        <v>2279</v>
      </c>
      <c r="M1091" t="s">
        <v>2279</v>
      </c>
      <c r="N1091" t="s">
        <v>2279</v>
      </c>
      <c r="O1091" s="190" t="str">
        <f>"["&amp;$C1091&amp;"]["&amp;$D1091&amp;"]["&amp;$F1091&amp;"]"</f>
        <v>[S10_InstallationPenalties][1][InstallationID]</v>
      </c>
    </row>
    <row r="1092" spans="1:15" x14ac:dyDescent="0.3">
      <c r="A1092" t="s">
        <v>2277</v>
      </c>
      <c r="B1092" t="s">
        <v>2158</v>
      </c>
      <c r="C1092" t="s">
        <v>2159</v>
      </c>
      <c r="D1092">
        <v>1</v>
      </c>
      <c r="E1092" t="s">
        <v>1447</v>
      </c>
      <c r="F1092" t="s">
        <v>2044</v>
      </c>
      <c r="G1092" t="s">
        <v>1741</v>
      </c>
      <c r="H1092" t="s">
        <v>2399</v>
      </c>
      <c r="I1092" t="s">
        <v>2279</v>
      </c>
      <c r="J1092" t="s">
        <v>2279</v>
      </c>
      <c r="K1092" t="s">
        <v>2279</v>
      </c>
      <c r="L1092" t="s">
        <v>2279</v>
      </c>
      <c r="M1092" t="s">
        <v>2279</v>
      </c>
      <c r="N1092" t="s">
        <v>2279</v>
      </c>
      <c r="O1092" s="190" t="str">
        <f>"["&amp;$C1092&amp;"]["&amp;$D1092&amp;"]["&amp;$F1092&amp;"]"</f>
        <v>[S10_InstallationPenalties][1][OperatorName]</v>
      </c>
    </row>
    <row r="1093" spans="1:15" x14ac:dyDescent="0.3">
      <c r="A1093" t="s">
        <v>2277</v>
      </c>
      <c r="B1093" t="s">
        <v>2160</v>
      </c>
      <c r="C1093" t="s">
        <v>2161</v>
      </c>
      <c r="D1093">
        <v>1</v>
      </c>
      <c r="E1093" t="s">
        <v>1447</v>
      </c>
      <c r="F1093" t="s">
        <v>2148</v>
      </c>
      <c r="G1093" t="s">
        <v>1759</v>
      </c>
      <c r="H1093" t="s">
        <v>2279</v>
      </c>
      <c r="I1093" t="s">
        <v>2279</v>
      </c>
      <c r="J1093" t="s">
        <v>2279</v>
      </c>
      <c r="K1093" t="s">
        <v>2279</v>
      </c>
      <c r="L1093" t="s">
        <v>1447</v>
      </c>
      <c r="M1093" t="s">
        <v>2279</v>
      </c>
      <c r="N1093" t="s">
        <v>2279</v>
      </c>
      <c r="O1093" s="190" t="str">
        <f>"["&amp;$C1093&amp;"]["&amp;$D1093&amp;"]["&amp;$F1093&amp;"]"</f>
        <v>[S10_AircraftComplianceMeasures][1][ComplianceMeasuresYesNo]</v>
      </c>
    </row>
    <row r="1094" spans="1:15" x14ac:dyDescent="0.3">
      <c r="A1094" t="s">
        <v>2277</v>
      </c>
      <c r="B1094" t="s">
        <v>2160</v>
      </c>
      <c r="C1094" t="s">
        <v>2161</v>
      </c>
      <c r="D1094">
        <v>2</v>
      </c>
      <c r="E1094" t="s">
        <v>1447</v>
      </c>
      <c r="F1094" t="s">
        <v>2148</v>
      </c>
      <c r="G1094" t="s">
        <v>1759</v>
      </c>
      <c r="H1094" t="s">
        <v>2279</v>
      </c>
      <c r="I1094" t="s">
        <v>2279</v>
      </c>
      <c r="J1094" t="s">
        <v>2279</v>
      </c>
      <c r="K1094" t="s">
        <v>2279</v>
      </c>
      <c r="L1094" t="s">
        <v>1447</v>
      </c>
      <c r="M1094" t="s">
        <v>2279</v>
      </c>
      <c r="N1094" t="s">
        <v>2279</v>
      </c>
      <c r="O1094" s="190" t="str">
        <f>"["&amp;$C1094&amp;"]["&amp;$D1094&amp;"]["&amp;$F1094&amp;"]"</f>
        <v>[S10_AircraftComplianceMeasures][2][ComplianceMeasuresYesNo]</v>
      </c>
    </row>
    <row r="1095" spans="1:15" x14ac:dyDescent="0.3">
      <c r="A1095" t="s">
        <v>2277</v>
      </c>
      <c r="B1095" t="s">
        <v>2160</v>
      </c>
      <c r="C1095" t="s">
        <v>2161</v>
      </c>
      <c r="D1095">
        <v>3</v>
      </c>
      <c r="E1095" t="s">
        <v>1447</v>
      </c>
      <c r="F1095" t="s">
        <v>2148</v>
      </c>
      <c r="G1095" t="s">
        <v>1759</v>
      </c>
      <c r="H1095" t="s">
        <v>2279</v>
      </c>
      <c r="I1095" t="s">
        <v>2279</v>
      </c>
      <c r="J1095" t="s">
        <v>2279</v>
      </c>
      <c r="K1095" t="s">
        <v>2279</v>
      </c>
      <c r="L1095" t="s">
        <v>1447</v>
      </c>
      <c r="M1095" t="s">
        <v>2279</v>
      </c>
      <c r="N1095" t="s">
        <v>2279</v>
      </c>
      <c r="O1095" s="190" t="str">
        <f>"["&amp;$C1095&amp;"]["&amp;$D1095&amp;"]["&amp;$F1095&amp;"]"</f>
        <v>[S10_AircraftComplianceMeasures][3][ComplianceMeasuresYesNo]</v>
      </c>
    </row>
    <row r="1096" spans="1:15" x14ac:dyDescent="0.3">
      <c r="A1096" t="s">
        <v>2277</v>
      </c>
      <c r="B1096" t="s">
        <v>2160</v>
      </c>
      <c r="C1096" t="s">
        <v>2161</v>
      </c>
      <c r="D1096">
        <v>4</v>
      </c>
      <c r="E1096" t="s">
        <v>1447</v>
      </c>
      <c r="F1096" t="s">
        <v>2148</v>
      </c>
      <c r="G1096" t="s">
        <v>1759</v>
      </c>
      <c r="H1096" t="s">
        <v>2279</v>
      </c>
      <c r="I1096" t="s">
        <v>2279</v>
      </c>
      <c r="J1096" t="s">
        <v>2279</v>
      </c>
      <c r="K1096" t="s">
        <v>2279</v>
      </c>
      <c r="L1096" t="s">
        <v>1447</v>
      </c>
      <c r="M1096" t="s">
        <v>2279</v>
      </c>
      <c r="N1096" t="s">
        <v>2279</v>
      </c>
      <c r="O1096" s="190" t="str">
        <f>"["&amp;$C1096&amp;"]["&amp;$D1096&amp;"]["&amp;$F1096&amp;"]"</f>
        <v>[S10_AircraftComplianceMeasures][4][ComplianceMeasuresYesNo]</v>
      </c>
    </row>
    <row r="1097" spans="1:15" x14ac:dyDescent="0.3">
      <c r="A1097" t="s">
        <v>2277</v>
      </c>
      <c r="B1097" t="s">
        <v>2162</v>
      </c>
      <c r="C1097" t="s">
        <v>2163</v>
      </c>
      <c r="D1097">
        <v>1</v>
      </c>
      <c r="E1097" t="s">
        <v>1447</v>
      </c>
      <c r="F1097" t="s">
        <v>2113</v>
      </c>
      <c r="G1097" t="s">
        <v>1806</v>
      </c>
      <c r="H1097" t="s">
        <v>2279</v>
      </c>
      <c r="I1097" t="s">
        <v>2279</v>
      </c>
      <c r="J1097">
        <v>0</v>
      </c>
      <c r="K1097" t="s">
        <v>2279</v>
      </c>
      <c r="L1097" t="s">
        <v>2279</v>
      </c>
      <c r="M1097" t="s">
        <v>2279</v>
      </c>
      <c r="N1097" t="s">
        <v>2279</v>
      </c>
      <c r="O1097" s="190" t="str">
        <f>"["&amp;$C1097&amp;"]["&amp;$D1097&amp;"]["&amp;$F1097&amp;"]"</f>
        <v>[S10_AircraftInfringementPenalties][1][PrisonMin]</v>
      </c>
    </row>
    <row r="1098" spans="1:15" x14ac:dyDescent="0.3">
      <c r="A1098" t="s">
        <v>2277</v>
      </c>
      <c r="B1098" t="s">
        <v>2162</v>
      </c>
      <c r="C1098" t="s">
        <v>2163</v>
      </c>
      <c r="D1098">
        <v>2</v>
      </c>
      <c r="E1098" t="s">
        <v>1447</v>
      </c>
      <c r="F1098" t="s">
        <v>2113</v>
      </c>
      <c r="G1098" t="s">
        <v>1806</v>
      </c>
      <c r="H1098" t="s">
        <v>2279</v>
      </c>
      <c r="I1098" t="s">
        <v>2279</v>
      </c>
      <c r="J1098">
        <v>0</v>
      </c>
      <c r="K1098" t="s">
        <v>2279</v>
      </c>
      <c r="L1098" t="s">
        <v>2279</v>
      </c>
      <c r="M1098" t="s">
        <v>2279</v>
      </c>
      <c r="N1098" t="s">
        <v>2279</v>
      </c>
      <c r="O1098" s="190" t="str">
        <f>"["&amp;$C1098&amp;"]["&amp;$D1098&amp;"]["&amp;$F1098&amp;"]"</f>
        <v>[S10_AircraftInfringementPenalties][2][PrisonMin]</v>
      </c>
    </row>
    <row r="1099" spans="1:15" x14ac:dyDescent="0.3">
      <c r="A1099" t="s">
        <v>2277</v>
      </c>
      <c r="B1099" t="s">
        <v>2162</v>
      </c>
      <c r="C1099" t="s">
        <v>2163</v>
      </c>
      <c r="D1099">
        <v>3</v>
      </c>
      <c r="E1099" t="s">
        <v>1447</v>
      </c>
      <c r="F1099" t="s">
        <v>2113</v>
      </c>
      <c r="G1099" t="s">
        <v>1806</v>
      </c>
      <c r="H1099" t="s">
        <v>2279</v>
      </c>
      <c r="I1099" t="s">
        <v>2279</v>
      </c>
      <c r="J1099">
        <v>0</v>
      </c>
      <c r="K1099" t="s">
        <v>2279</v>
      </c>
      <c r="L1099" t="s">
        <v>2279</v>
      </c>
      <c r="M1099" t="s">
        <v>2279</v>
      </c>
      <c r="N1099" t="s">
        <v>2279</v>
      </c>
      <c r="O1099" s="190" t="str">
        <f>"["&amp;$C1099&amp;"]["&amp;$D1099&amp;"]["&amp;$F1099&amp;"]"</f>
        <v>[S10_AircraftInfringementPenalties][3][PrisonMin]</v>
      </c>
    </row>
    <row r="1100" spans="1:15" x14ac:dyDescent="0.3">
      <c r="A1100" t="s">
        <v>2277</v>
      </c>
      <c r="B1100" t="s">
        <v>2162</v>
      </c>
      <c r="C1100" t="s">
        <v>2163</v>
      </c>
      <c r="D1100">
        <v>4</v>
      </c>
      <c r="E1100" t="s">
        <v>1447</v>
      </c>
      <c r="F1100" t="s">
        <v>2113</v>
      </c>
      <c r="G1100" t="s">
        <v>1806</v>
      </c>
      <c r="H1100" t="s">
        <v>2279</v>
      </c>
      <c r="I1100" t="s">
        <v>2279</v>
      </c>
      <c r="J1100">
        <v>0</v>
      </c>
      <c r="K1100" t="s">
        <v>2279</v>
      </c>
      <c r="L1100" t="s">
        <v>2279</v>
      </c>
      <c r="M1100" t="s">
        <v>2279</v>
      </c>
      <c r="N1100" t="s">
        <v>2279</v>
      </c>
      <c r="O1100" s="190" t="str">
        <f>"["&amp;$C1100&amp;"]["&amp;$D1100&amp;"]["&amp;$F1100&amp;"]"</f>
        <v>[S10_AircraftInfringementPenalties][4][PrisonMin]</v>
      </c>
    </row>
    <row r="1101" spans="1:15" x14ac:dyDescent="0.3">
      <c r="A1101" t="s">
        <v>2277</v>
      </c>
      <c r="B1101" t="s">
        <v>2162</v>
      </c>
      <c r="C1101" t="s">
        <v>2163</v>
      </c>
      <c r="D1101">
        <v>5</v>
      </c>
      <c r="E1101" t="s">
        <v>1447</v>
      </c>
      <c r="F1101" t="s">
        <v>2113</v>
      </c>
      <c r="G1101" t="s">
        <v>1806</v>
      </c>
      <c r="H1101" t="s">
        <v>2279</v>
      </c>
      <c r="I1101" t="s">
        <v>2279</v>
      </c>
      <c r="J1101">
        <v>0</v>
      </c>
      <c r="K1101" t="s">
        <v>2279</v>
      </c>
      <c r="L1101" t="s">
        <v>2279</v>
      </c>
      <c r="M1101" t="s">
        <v>2279</v>
      </c>
      <c r="N1101" t="s">
        <v>2279</v>
      </c>
      <c r="O1101" s="190" t="str">
        <f>"["&amp;$C1101&amp;"]["&amp;$D1101&amp;"]["&amp;$F1101&amp;"]"</f>
        <v>[S10_AircraftInfringementPenalties][5][PrisonMin]</v>
      </c>
    </row>
    <row r="1102" spans="1:15" x14ac:dyDescent="0.3">
      <c r="A1102" t="s">
        <v>2277</v>
      </c>
      <c r="B1102" t="s">
        <v>2162</v>
      </c>
      <c r="C1102" t="s">
        <v>2163</v>
      </c>
      <c r="D1102">
        <v>6</v>
      </c>
      <c r="E1102" t="s">
        <v>1447</v>
      </c>
      <c r="F1102" t="s">
        <v>2113</v>
      </c>
      <c r="G1102" t="s">
        <v>1806</v>
      </c>
      <c r="H1102" t="s">
        <v>2279</v>
      </c>
      <c r="I1102" t="s">
        <v>2279</v>
      </c>
      <c r="J1102">
        <v>0</v>
      </c>
      <c r="K1102" t="s">
        <v>2279</v>
      </c>
      <c r="L1102" t="s">
        <v>2279</v>
      </c>
      <c r="M1102" t="s">
        <v>2279</v>
      </c>
      <c r="N1102" t="s">
        <v>2279</v>
      </c>
      <c r="O1102" s="190" t="str">
        <f>"["&amp;$C1102&amp;"]["&amp;$D1102&amp;"]["&amp;$F1102&amp;"]"</f>
        <v>[S10_AircraftInfringementPenalties][6][PrisonMin]</v>
      </c>
    </row>
    <row r="1103" spans="1:15" x14ac:dyDescent="0.3">
      <c r="A1103" t="s">
        <v>2277</v>
      </c>
      <c r="B1103" t="s">
        <v>2162</v>
      </c>
      <c r="C1103" t="s">
        <v>2163</v>
      </c>
      <c r="D1103">
        <v>7</v>
      </c>
      <c r="E1103" t="s">
        <v>1447</v>
      </c>
      <c r="F1103" t="s">
        <v>2113</v>
      </c>
      <c r="G1103" t="s">
        <v>1806</v>
      </c>
      <c r="H1103" t="s">
        <v>2279</v>
      </c>
      <c r="I1103" t="s">
        <v>2279</v>
      </c>
      <c r="J1103">
        <v>0</v>
      </c>
      <c r="K1103" t="s">
        <v>2279</v>
      </c>
      <c r="L1103" t="s">
        <v>2279</v>
      </c>
      <c r="M1103" t="s">
        <v>2279</v>
      </c>
      <c r="N1103" t="s">
        <v>2279</v>
      </c>
      <c r="O1103" s="190" t="str">
        <f>"["&amp;$C1103&amp;"]["&amp;$D1103&amp;"]["&amp;$F1103&amp;"]"</f>
        <v>[S10_AircraftInfringementPenalties][7][PrisonMin]</v>
      </c>
    </row>
    <row r="1104" spans="1:15" x14ac:dyDescent="0.3">
      <c r="A1104" t="s">
        <v>2277</v>
      </c>
      <c r="B1104" t="s">
        <v>2162</v>
      </c>
      <c r="C1104" t="s">
        <v>2163</v>
      </c>
      <c r="D1104">
        <v>8</v>
      </c>
      <c r="E1104" t="s">
        <v>1447</v>
      </c>
      <c r="F1104" t="s">
        <v>2113</v>
      </c>
      <c r="G1104" t="s">
        <v>1806</v>
      </c>
      <c r="H1104" t="s">
        <v>2279</v>
      </c>
      <c r="I1104" t="s">
        <v>2279</v>
      </c>
      <c r="J1104">
        <v>0</v>
      </c>
      <c r="K1104" t="s">
        <v>2279</v>
      </c>
      <c r="L1104" t="s">
        <v>2279</v>
      </c>
      <c r="M1104" t="s">
        <v>2279</v>
      </c>
      <c r="N1104" t="s">
        <v>2279</v>
      </c>
      <c r="O1104" s="190" t="str">
        <f>"["&amp;$C1104&amp;"]["&amp;$D1104&amp;"]["&amp;$F1104&amp;"]"</f>
        <v>[S10_AircraftInfringementPenalties][8][PrisonMin]</v>
      </c>
    </row>
    <row r="1105" spans="1:15" x14ac:dyDescent="0.3">
      <c r="A1105" t="s">
        <v>2277</v>
      </c>
      <c r="B1105" t="s">
        <v>2162</v>
      </c>
      <c r="C1105" t="s">
        <v>2163</v>
      </c>
      <c r="D1105">
        <v>9</v>
      </c>
      <c r="E1105" t="s">
        <v>1447</v>
      </c>
      <c r="F1105" t="s">
        <v>2113</v>
      </c>
      <c r="G1105" t="s">
        <v>1806</v>
      </c>
      <c r="H1105" t="s">
        <v>2279</v>
      </c>
      <c r="I1105" t="s">
        <v>2279</v>
      </c>
      <c r="J1105">
        <v>0</v>
      </c>
      <c r="K1105" t="s">
        <v>2279</v>
      </c>
      <c r="L1105" t="s">
        <v>2279</v>
      </c>
      <c r="M1105" t="s">
        <v>2279</v>
      </c>
      <c r="N1105" t="s">
        <v>2279</v>
      </c>
      <c r="O1105" s="190" t="str">
        <f>"["&amp;$C1105&amp;"]["&amp;$D1105&amp;"]["&amp;$F1105&amp;"]"</f>
        <v>[S10_AircraftInfringementPenalties][9][PrisonMin]</v>
      </c>
    </row>
    <row r="1106" spans="1:15" x14ac:dyDescent="0.3">
      <c r="A1106" t="s">
        <v>2277</v>
      </c>
      <c r="B1106" t="s">
        <v>2162</v>
      </c>
      <c r="C1106" t="s">
        <v>2163</v>
      </c>
      <c r="D1106">
        <v>10</v>
      </c>
      <c r="E1106" t="s">
        <v>1447</v>
      </c>
      <c r="F1106" t="s">
        <v>2113</v>
      </c>
      <c r="G1106" t="s">
        <v>1806</v>
      </c>
      <c r="H1106" t="s">
        <v>2279</v>
      </c>
      <c r="I1106" t="s">
        <v>2279</v>
      </c>
      <c r="J1106">
        <v>0</v>
      </c>
      <c r="K1106" t="s">
        <v>2279</v>
      </c>
      <c r="L1106" t="s">
        <v>2279</v>
      </c>
      <c r="M1106" t="s">
        <v>2279</v>
      </c>
      <c r="N1106" t="s">
        <v>2279</v>
      </c>
      <c r="O1106" s="190" t="str">
        <f>"["&amp;$C1106&amp;"]["&amp;$D1106&amp;"]["&amp;$F1106&amp;"]"</f>
        <v>[S10_AircraftInfringementPenalties][10][PrisonMin]</v>
      </c>
    </row>
    <row r="1107" spans="1:15" x14ac:dyDescent="0.3">
      <c r="A1107" t="s">
        <v>2277</v>
      </c>
      <c r="B1107" t="s">
        <v>2162</v>
      </c>
      <c r="C1107" t="s">
        <v>2163</v>
      </c>
      <c r="D1107">
        <v>11</v>
      </c>
      <c r="E1107" t="s">
        <v>1447</v>
      </c>
      <c r="F1107" t="s">
        <v>2113</v>
      </c>
      <c r="G1107" t="s">
        <v>1806</v>
      </c>
      <c r="H1107" t="s">
        <v>2279</v>
      </c>
      <c r="I1107" t="s">
        <v>2279</v>
      </c>
      <c r="J1107">
        <v>0</v>
      </c>
      <c r="K1107" t="s">
        <v>2279</v>
      </c>
      <c r="L1107" t="s">
        <v>2279</v>
      </c>
      <c r="M1107" t="s">
        <v>2279</v>
      </c>
      <c r="N1107" t="s">
        <v>2279</v>
      </c>
      <c r="O1107" s="190" t="str">
        <f>"["&amp;$C1107&amp;"]["&amp;$D1107&amp;"]["&amp;$F1107&amp;"]"</f>
        <v>[S10_AircraftInfringementPenalties][11][PrisonMin]</v>
      </c>
    </row>
    <row r="1108" spans="1:15" x14ac:dyDescent="0.3">
      <c r="A1108" t="s">
        <v>2277</v>
      </c>
      <c r="B1108" t="s">
        <v>2162</v>
      </c>
      <c r="C1108" t="s">
        <v>2163</v>
      </c>
      <c r="D1108">
        <v>1</v>
      </c>
      <c r="E1108" t="s">
        <v>1447</v>
      </c>
      <c r="F1108" t="s">
        <v>2114</v>
      </c>
      <c r="G1108" t="s">
        <v>1806</v>
      </c>
      <c r="H1108" t="s">
        <v>2279</v>
      </c>
      <c r="I1108" t="s">
        <v>2279</v>
      </c>
      <c r="J1108">
        <v>24</v>
      </c>
      <c r="K1108" t="s">
        <v>2279</v>
      </c>
      <c r="L1108" t="s">
        <v>2279</v>
      </c>
      <c r="M1108" t="s">
        <v>2279</v>
      </c>
      <c r="N1108" t="s">
        <v>2279</v>
      </c>
      <c r="O1108" s="190" t="str">
        <f>"["&amp;$C1108&amp;"]["&amp;$D1108&amp;"]["&amp;$F1108&amp;"]"</f>
        <v>[S10_AircraftInfringementPenalties][1][PrisonMax]</v>
      </c>
    </row>
    <row r="1109" spans="1:15" x14ac:dyDescent="0.3">
      <c r="A1109" t="s">
        <v>2277</v>
      </c>
      <c r="B1109" t="s">
        <v>2162</v>
      </c>
      <c r="C1109" t="s">
        <v>2163</v>
      </c>
      <c r="D1109">
        <v>2</v>
      </c>
      <c r="E1109" t="s">
        <v>1447</v>
      </c>
      <c r="F1109" t="s">
        <v>2114</v>
      </c>
      <c r="G1109" t="s">
        <v>1806</v>
      </c>
      <c r="H1109" t="s">
        <v>2279</v>
      </c>
      <c r="I1109" t="s">
        <v>2279</v>
      </c>
      <c r="J1109">
        <v>24</v>
      </c>
      <c r="K1109" t="s">
        <v>2279</v>
      </c>
      <c r="L1109" t="s">
        <v>2279</v>
      </c>
      <c r="M1109" t="s">
        <v>2279</v>
      </c>
      <c r="N1109" t="s">
        <v>2279</v>
      </c>
      <c r="O1109" s="190" t="str">
        <f>"["&amp;$C1109&amp;"]["&amp;$D1109&amp;"]["&amp;$F1109&amp;"]"</f>
        <v>[S10_AircraftInfringementPenalties][2][PrisonMax]</v>
      </c>
    </row>
    <row r="1110" spans="1:15" x14ac:dyDescent="0.3">
      <c r="A1110" t="s">
        <v>2277</v>
      </c>
      <c r="B1110" t="s">
        <v>2162</v>
      </c>
      <c r="C1110" t="s">
        <v>2163</v>
      </c>
      <c r="D1110">
        <v>3</v>
      </c>
      <c r="E1110" t="s">
        <v>1447</v>
      </c>
      <c r="F1110" t="s">
        <v>2114</v>
      </c>
      <c r="G1110" t="s">
        <v>1806</v>
      </c>
      <c r="H1110" t="s">
        <v>2279</v>
      </c>
      <c r="I1110" t="s">
        <v>2279</v>
      </c>
      <c r="J1110">
        <v>24</v>
      </c>
      <c r="K1110" t="s">
        <v>2279</v>
      </c>
      <c r="L1110" t="s">
        <v>2279</v>
      </c>
      <c r="M1110" t="s">
        <v>2279</v>
      </c>
      <c r="N1110" t="s">
        <v>2279</v>
      </c>
      <c r="O1110" s="190" t="str">
        <f>"["&amp;$C1110&amp;"]["&amp;$D1110&amp;"]["&amp;$F1110&amp;"]"</f>
        <v>[S10_AircraftInfringementPenalties][3][PrisonMax]</v>
      </c>
    </row>
    <row r="1111" spans="1:15" x14ac:dyDescent="0.3">
      <c r="A1111" t="s">
        <v>2277</v>
      </c>
      <c r="B1111" t="s">
        <v>2162</v>
      </c>
      <c r="C1111" t="s">
        <v>2163</v>
      </c>
      <c r="D1111">
        <v>4</v>
      </c>
      <c r="E1111" t="s">
        <v>1447</v>
      </c>
      <c r="F1111" t="s">
        <v>2114</v>
      </c>
      <c r="G1111" t="s">
        <v>1806</v>
      </c>
      <c r="H1111" t="s">
        <v>2279</v>
      </c>
      <c r="I1111" t="s">
        <v>2279</v>
      </c>
      <c r="J1111">
        <v>24</v>
      </c>
      <c r="K1111" t="s">
        <v>2279</v>
      </c>
      <c r="L1111" t="s">
        <v>2279</v>
      </c>
      <c r="M1111" t="s">
        <v>2279</v>
      </c>
      <c r="N1111" t="s">
        <v>2279</v>
      </c>
      <c r="O1111" s="190" t="str">
        <f>"["&amp;$C1111&amp;"]["&amp;$D1111&amp;"]["&amp;$F1111&amp;"]"</f>
        <v>[S10_AircraftInfringementPenalties][4][PrisonMax]</v>
      </c>
    </row>
    <row r="1112" spans="1:15" x14ac:dyDescent="0.3">
      <c r="A1112" t="s">
        <v>2277</v>
      </c>
      <c r="B1112" t="s">
        <v>2162</v>
      </c>
      <c r="C1112" t="s">
        <v>2163</v>
      </c>
      <c r="D1112">
        <v>5</v>
      </c>
      <c r="E1112" t="s">
        <v>1447</v>
      </c>
      <c r="F1112" t="s">
        <v>2114</v>
      </c>
      <c r="G1112" t="s">
        <v>1806</v>
      </c>
      <c r="H1112" t="s">
        <v>2279</v>
      </c>
      <c r="I1112" t="s">
        <v>2279</v>
      </c>
      <c r="J1112">
        <v>24</v>
      </c>
      <c r="K1112" t="s">
        <v>2279</v>
      </c>
      <c r="L1112" t="s">
        <v>2279</v>
      </c>
      <c r="M1112" t="s">
        <v>2279</v>
      </c>
      <c r="N1112" t="s">
        <v>2279</v>
      </c>
      <c r="O1112" s="190" t="str">
        <f>"["&amp;$C1112&amp;"]["&amp;$D1112&amp;"]["&amp;$F1112&amp;"]"</f>
        <v>[S10_AircraftInfringementPenalties][5][PrisonMax]</v>
      </c>
    </row>
    <row r="1113" spans="1:15" x14ac:dyDescent="0.3">
      <c r="A1113" t="s">
        <v>2277</v>
      </c>
      <c r="B1113" t="s">
        <v>2162</v>
      </c>
      <c r="C1113" t="s">
        <v>2163</v>
      </c>
      <c r="D1113">
        <v>6</v>
      </c>
      <c r="E1113" t="s">
        <v>1447</v>
      </c>
      <c r="F1113" t="s">
        <v>2114</v>
      </c>
      <c r="G1113" t="s">
        <v>1806</v>
      </c>
      <c r="H1113" t="s">
        <v>2279</v>
      </c>
      <c r="I1113" t="s">
        <v>2279</v>
      </c>
      <c r="J1113">
        <v>24</v>
      </c>
      <c r="K1113" t="s">
        <v>2279</v>
      </c>
      <c r="L1113" t="s">
        <v>2279</v>
      </c>
      <c r="M1113" t="s">
        <v>2279</v>
      </c>
      <c r="N1113" t="s">
        <v>2279</v>
      </c>
      <c r="O1113" s="190" t="str">
        <f>"["&amp;$C1113&amp;"]["&amp;$D1113&amp;"]["&amp;$F1113&amp;"]"</f>
        <v>[S10_AircraftInfringementPenalties][6][PrisonMax]</v>
      </c>
    </row>
    <row r="1114" spans="1:15" x14ac:dyDescent="0.3">
      <c r="A1114" t="s">
        <v>2277</v>
      </c>
      <c r="B1114" t="s">
        <v>2162</v>
      </c>
      <c r="C1114" t="s">
        <v>2163</v>
      </c>
      <c r="D1114">
        <v>7</v>
      </c>
      <c r="E1114" t="s">
        <v>1447</v>
      </c>
      <c r="F1114" t="s">
        <v>2114</v>
      </c>
      <c r="G1114" t="s">
        <v>1806</v>
      </c>
      <c r="H1114" t="s">
        <v>2279</v>
      </c>
      <c r="I1114" t="s">
        <v>2279</v>
      </c>
      <c r="J1114">
        <v>24</v>
      </c>
      <c r="K1114" t="s">
        <v>2279</v>
      </c>
      <c r="L1114" t="s">
        <v>2279</v>
      </c>
      <c r="M1114" t="s">
        <v>2279</v>
      </c>
      <c r="N1114" t="s">
        <v>2279</v>
      </c>
      <c r="O1114" s="190" t="str">
        <f>"["&amp;$C1114&amp;"]["&amp;$D1114&amp;"]["&amp;$F1114&amp;"]"</f>
        <v>[S10_AircraftInfringementPenalties][7][PrisonMax]</v>
      </c>
    </row>
    <row r="1115" spans="1:15" x14ac:dyDescent="0.3">
      <c r="A1115" t="s">
        <v>2277</v>
      </c>
      <c r="B1115" t="s">
        <v>2162</v>
      </c>
      <c r="C1115" t="s">
        <v>2163</v>
      </c>
      <c r="D1115">
        <v>8</v>
      </c>
      <c r="E1115" t="s">
        <v>1447</v>
      </c>
      <c r="F1115" t="s">
        <v>2114</v>
      </c>
      <c r="G1115" t="s">
        <v>1806</v>
      </c>
      <c r="H1115" t="s">
        <v>2279</v>
      </c>
      <c r="I1115" t="s">
        <v>2279</v>
      </c>
      <c r="J1115">
        <v>24</v>
      </c>
      <c r="K1115" t="s">
        <v>2279</v>
      </c>
      <c r="L1115" t="s">
        <v>2279</v>
      </c>
      <c r="M1115" t="s">
        <v>2279</v>
      </c>
      <c r="N1115" t="s">
        <v>2279</v>
      </c>
      <c r="O1115" s="190" t="str">
        <f>"["&amp;$C1115&amp;"]["&amp;$D1115&amp;"]["&amp;$F1115&amp;"]"</f>
        <v>[S10_AircraftInfringementPenalties][8][PrisonMax]</v>
      </c>
    </row>
    <row r="1116" spans="1:15" x14ac:dyDescent="0.3">
      <c r="A1116" t="s">
        <v>2277</v>
      </c>
      <c r="B1116" t="s">
        <v>2162</v>
      </c>
      <c r="C1116" t="s">
        <v>2163</v>
      </c>
      <c r="D1116">
        <v>9</v>
      </c>
      <c r="E1116" t="s">
        <v>1447</v>
      </c>
      <c r="F1116" t="s">
        <v>2114</v>
      </c>
      <c r="G1116" t="s">
        <v>1806</v>
      </c>
      <c r="H1116" t="s">
        <v>2279</v>
      </c>
      <c r="I1116" t="s">
        <v>2279</v>
      </c>
      <c r="J1116">
        <v>24</v>
      </c>
      <c r="K1116" t="s">
        <v>2279</v>
      </c>
      <c r="L1116" t="s">
        <v>2279</v>
      </c>
      <c r="M1116" t="s">
        <v>2279</v>
      </c>
      <c r="N1116" t="s">
        <v>2279</v>
      </c>
      <c r="O1116" s="190" t="str">
        <f>"["&amp;$C1116&amp;"]["&amp;$D1116&amp;"]["&amp;$F1116&amp;"]"</f>
        <v>[S10_AircraftInfringementPenalties][9][PrisonMax]</v>
      </c>
    </row>
    <row r="1117" spans="1:15" x14ac:dyDescent="0.3">
      <c r="A1117" t="s">
        <v>2277</v>
      </c>
      <c r="B1117" t="s">
        <v>2162</v>
      </c>
      <c r="C1117" t="s">
        <v>2163</v>
      </c>
      <c r="D1117">
        <v>10</v>
      </c>
      <c r="E1117" t="s">
        <v>1447</v>
      </c>
      <c r="F1117" t="s">
        <v>2114</v>
      </c>
      <c r="G1117" t="s">
        <v>1806</v>
      </c>
      <c r="H1117" t="s">
        <v>2279</v>
      </c>
      <c r="I1117" t="s">
        <v>2279</v>
      </c>
      <c r="J1117">
        <v>24</v>
      </c>
      <c r="K1117" t="s">
        <v>2279</v>
      </c>
      <c r="L1117" t="s">
        <v>2279</v>
      </c>
      <c r="M1117" t="s">
        <v>2279</v>
      </c>
      <c r="N1117" t="s">
        <v>2279</v>
      </c>
      <c r="O1117" s="190" t="str">
        <f>"["&amp;$C1117&amp;"]["&amp;$D1117&amp;"]["&amp;$F1117&amp;"]"</f>
        <v>[S10_AircraftInfringementPenalties][10][PrisonMax]</v>
      </c>
    </row>
    <row r="1118" spans="1:15" x14ac:dyDescent="0.3">
      <c r="A1118" t="s">
        <v>2277</v>
      </c>
      <c r="B1118" t="s">
        <v>2162</v>
      </c>
      <c r="C1118" t="s">
        <v>2163</v>
      </c>
      <c r="D1118">
        <v>11</v>
      </c>
      <c r="E1118" t="s">
        <v>1447</v>
      </c>
      <c r="F1118" t="s">
        <v>2114</v>
      </c>
      <c r="G1118" t="s">
        <v>1806</v>
      </c>
      <c r="H1118" t="s">
        <v>2279</v>
      </c>
      <c r="I1118" t="s">
        <v>2279</v>
      </c>
      <c r="J1118">
        <v>24</v>
      </c>
      <c r="K1118" t="s">
        <v>2279</v>
      </c>
      <c r="L1118" t="s">
        <v>2279</v>
      </c>
      <c r="M1118" t="s">
        <v>2279</v>
      </c>
      <c r="N1118" t="s">
        <v>2279</v>
      </c>
      <c r="O1118" s="190" t="str">
        <f>"["&amp;$C1118&amp;"]["&amp;$D1118&amp;"]["&amp;$F1118&amp;"]"</f>
        <v>[S10_AircraftInfringementPenalties][11][PrisonMax]</v>
      </c>
    </row>
    <row r="1119" spans="1:15" x14ac:dyDescent="0.3">
      <c r="A1119" t="s">
        <v>2277</v>
      </c>
      <c r="B1119" t="s">
        <v>2162</v>
      </c>
      <c r="C1119" t="s">
        <v>2163</v>
      </c>
      <c r="D1119">
        <v>1</v>
      </c>
      <c r="E1119" t="s">
        <v>1447</v>
      </c>
      <c r="F1119" t="s">
        <v>2115</v>
      </c>
      <c r="G1119" t="s">
        <v>1791</v>
      </c>
      <c r="H1119" t="s">
        <v>2279</v>
      </c>
      <c r="I1119" t="s">
        <v>2279</v>
      </c>
      <c r="J1119" t="s">
        <v>2279</v>
      </c>
      <c r="K1119" t="s">
        <v>2400</v>
      </c>
      <c r="L1119" t="s">
        <v>2279</v>
      </c>
      <c r="M1119" t="s">
        <v>2279</v>
      </c>
      <c r="N1119" t="s">
        <v>2279</v>
      </c>
      <c r="O1119" s="190" t="str">
        <f>"["&amp;$C1119&amp;"]["&amp;$D1119&amp;"]["&amp;$F1119&amp;"]"</f>
        <v>[S10_AircraftInfringementPenalties][1][OtherPenalty]</v>
      </c>
    </row>
    <row r="1120" spans="1:15" x14ac:dyDescent="0.3">
      <c r="A1120" t="s">
        <v>2277</v>
      </c>
      <c r="B1120" t="s">
        <v>2162</v>
      </c>
      <c r="C1120" t="s">
        <v>2163</v>
      </c>
      <c r="D1120">
        <v>2</v>
      </c>
      <c r="E1120" t="s">
        <v>1447</v>
      </c>
      <c r="F1120" t="s">
        <v>2115</v>
      </c>
      <c r="G1120" t="s">
        <v>1791</v>
      </c>
      <c r="H1120" t="s">
        <v>2279</v>
      </c>
      <c r="I1120" t="s">
        <v>2279</v>
      </c>
      <c r="J1120" t="s">
        <v>2279</v>
      </c>
      <c r="K1120" t="s">
        <v>2401</v>
      </c>
      <c r="L1120" t="s">
        <v>2279</v>
      </c>
      <c r="M1120" t="s">
        <v>2279</v>
      </c>
      <c r="N1120" t="s">
        <v>2279</v>
      </c>
      <c r="O1120" s="190" t="str">
        <f>"["&amp;$C1120&amp;"]["&amp;$D1120&amp;"]["&amp;$F1120&amp;"]"</f>
        <v>[S10_AircraftInfringementPenalties][2][OtherPenalty]</v>
      </c>
    </row>
    <row r="1121" spans="1:15" x14ac:dyDescent="0.3">
      <c r="A1121" t="s">
        <v>2277</v>
      </c>
      <c r="B1121" t="s">
        <v>2162</v>
      </c>
      <c r="C1121" t="s">
        <v>2163</v>
      </c>
      <c r="D1121">
        <v>3</v>
      </c>
      <c r="E1121" t="s">
        <v>1447</v>
      </c>
      <c r="F1121" t="s">
        <v>2115</v>
      </c>
      <c r="G1121" t="s">
        <v>1791</v>
      </c>
      <c r="H1121" t="s">
        <v>2279</v>
      </c>
      <c r="I1121" t="s">
        <v>2279</v>
      </c>
      <c r="J1121" t="s">
        <v>2279</v>
      </c>
      <c r="K1121" t="s">
        <v>2401</v>
      </c>
      <c r="L1121" t="s">
        <v>2279</v>
      </c>
      <c r="M1121" t="s">
        <v>2279</v>
      </c>
      <c r="N1121" t="s">
        <v>2279</v>
      </c>
      <c r="O1121" s="190" t="str">
        <f>"["&amp;$C1121&amp;"]["&amp;$D1121&amp;"]["&amp;$F1121&amp;"]"</f>
        <v>[S10_AircraftInfringementPenalties][3][OtherPenalty]</v>
      </c>
    </row>
    <row r="1122" spans="1:15" x14ac:dyDescent="0.3">
      <c r="A1122" t="s">
        <v>2277</v>
      </c>
      <c r="B1122" t="s">
        <v>2162</v>
      </c>
      <c r="C1122" t="s">
        <v>2163</v>
      </c>
      <c r="D1122">
        <v>4</v>
      </c>
      <c r="E1122" t="s">
        <v>1447</v>
      </c>
      <c r="F1122" t="s">
        <v>2115</v>
      </c>
      <c r="G1122" t="s">
        <v>1791</v>
      </c>
      <c r="H1122" t="s">
        <v>2279</v>
      </c>
      <c r="I1122" t="s">
        <v>2279</v>
      </c>
      <c r="J1122" t="s">
        <v>2279</v>
      </c>
      <c r="K1122" t="s">
        <v>2401</v>
      </c>
      <c r="L1122" t="s">
        <v>2279</v>
      </c>
      <c r="M1122" t="s">
        <v>2279</v>
      </c>
      <c r="N1122" t="s">
        <v>2279</v>
      </c>
      <c r="O1122" s="190" t="str">
        <f>"["&amp;$C1122&amp;"]["&amp;$D1122&amp;"]["&amp;$F1122&amp;"]"</f>
        <v>[S10_AircraftInfringementPenalties][4][OtherPenalty]</v>
      </c>
    </row>
    <row r="1123" spans="1:15" x14ac:dyDescent="0.3">
      <c r="A1123" t="s">
        <v>2277</v>
      </c>
      <c r="B1123" t="s">
        <v>2162</v>
      </c>
      <c r="C1123" t="s">
        <v>2163</v>
      </c>
      <c r="D1123">
        <v>5</v>
      </c>
      <c r="E1123" t="s">
        <v>1447</v>
      </c>
      <c r="F1123" t="s">
        <v>2115</v>
      </c>
      <c r="G1123" t="s">
        <v>1791</v>
      </c>
      <c r="H1123" t="s">
        <v>2279</v>
      </c>
      <c r="I1123" t="s">
        <v>2279</v>
      </c>
      <c r="J1123" t="s">
        <v>2279</v>
      </c>
      <c r="K1123" t="s">
        <v>2401</v>
      </c>
      <c r="L1123" t="s">
        <v>2279</v>
      </c>
      <c r="M1123" t="s">
        <v>2279</v>
      </c>
      <c r="N1123" t="s">
        <v>2279</v>
      </c>
      <c r="O1123" s="190" t="str">
        <f>"["&amp;$C1123&amp;"]["&amp;$D1123&amp;"]["&amp;$F1123&amp;"]"</f>
        <v>[S10_AircraftInfringementPenalties][5][OtherPenalty]</v>
      </c>
    </row>
    <row r="1124" spans="1:15" x14ac:dyDescent="0.3">
      <c r="A1124" t="s">
        <v>2277</v>
      </c>
      <c r="B1124" t="s">
        <v>2162</v>
      </c>
      <c r="C1124" t="s">
        <v>2163</v>
      </c>
      <c r="D1124">
        <v>6</v>
      </c>
      <c r="E1124" t="s">
        <v>1447</v>
      </c>
      <c r="F1124" t="s">
        <v>2115</v>
      </c>
      <c r="G1124" t="s">
        <v>1791</v>
      </c>
      <c r="H1124" t="s">
        <v>2279</v>
      </c>
      <c r="I1124" t="s">
        <v>2279</v>
      </c>
      <c r="J1124" t="s">
        <v>2279</v>
      </c>
      <c r="K1124" t="s">
        <v>2401</v>
      </c>
      <c r="L1124" t="s">
        <v>2279</v>
      </c>
      <c r="M1124" t="s">
        <v>2279</v>
      </c>
      <c r="N1124" t="s">
        <v>2279</v>
      </c>
      <c r="O1124" s="190" t="str">
        <f>"["&amp;$C1124&amp;"]["&amp;$D1124&amp;"]["&amp;$F1124&amp;"]"</f>
        <v>[S10_AircraftInfringementPenalties][6][OtherPenalty]</v>
      </c>
    </row>
    <row r="1125" spans="1:15" x14ac:dyDescent="0.3">
      <c r="A1125" t="s">
        <v>2277</v>
      </c>
      <c r="B1125" t="s">
        <v>2162</v>
      </c>
      <c r="C1125" t="s">
        <v>2163</v>
      </c>
      <c r="D1125">
        <v>7</v>
      </c>
      <c r="E1125" t="s">
        <v>1447</v>
      </c>
      <c r="F1125" t="s">
        <v>2115</v>
      </c>
      <c r="G1125" t="s">
        <v>1791</v>
      </c>
      <c r="H1125" t="s">
        <v>2279</v>
      </c>
      <c r="I1125" t="s">
        <v>2279</v>
      </c>
      <c r="J1125" t="s">
        <v>2279</v>
      </c>
      <c r="K1125" t="s">
        <v>2401</v>
      </c>
      <c r="L1125" t="s">
        <v>2279</v>
      </c>
      <c r="M1125" t="s">
        <v>2279</v>
      </c>
      <c r="N1125" t="s">
        <v>2279</v>
      </c>
      <c r="O1125" s="190" t="str">
        <f>"["&amp;$C1125&amp;"]["&amp;$D1125&amp;"]["&amp;$F1125&amp;"]"</f>
        <v>[S10_AircraftInfringementPenalties][7][OtherPenalty]</v>
      </c>
    </row>
    <row r="1126" spans="1:15" x14ac:dyDescent="0.3">
      <c r="A1126" t="s">
        <v>2277</v>
      </c>
      <c r="B1126" t="s">
        <v>2162</v>
      </c>
      <c r="C1126" t="s">
        <v>2163</v>
      </c>
      <c r="D1126">
        <v>8</v>
      </c>
      <c r="E1126" t="s">
        <v>1447</v>
      </c>
      <c r="F1126" t="s">
        <v>2115</v>
      </c>
      <c r="G1126" t="s">
        <v>1791</v>
      </c>
      <c r="H1126" t="s">
        <v>2279</v>
      </c>
      <c r="I1126" t="s">
        <v>2279</v>
      </c>
      <c r="J1126" t="s">
        <v>2279</v>
      </c>
      <c r="K1126" t="s">
        <v>2401</v>
      </c>
      <c r="L1126" t="s">
        <v>2279</v>
      </c>
      <c r="M1126" t="s">
        <v>2279</v>
      </c>
      <c r="N1126" t="s">
        <v>2279</v>
      </c>
      <c r="O1126" s="190" t="str">
        <f>"["&amp;$C1126&amp;"]["&amp;$D1126&amp;"]["&amp;$F1126&amp;"]"</f>
        <v>[S10_AircraftInfringementPenalties][8][OtherPenalty]</v>
      </c>
    </row>
    <row r="1127" spans="1:15" x14ac:dyDescent="0.3">
      <c r="A1127" t="s">
        <v>2277</v>
      </c>
      <c r="B1127" t="s">
        <v>2162</v>
      </c>
      <c r="C1127" t="s">
        <v>2163</v>
      </c>
      <c r="D1127">
        <v>9</v>
      </c>
      <c r="E1127" t="s">
        <v>1447</v>
      </c>
      <c r="F1127" t="s">
        <v>2115</v>
      </c>
      <c r="G1127" t="s">
        <v>1791</v>
      </c>
      <c r="H1127" t="s">
        <v>2279</v>
      </c>
      <c r="I1127" t="s">
        <v>2279</v>
      </c>
      <c r="J1127" t="s">
        <v>2279</v>
      </c>
      <c r="K1127" t="s">
        <v>2401</v>
      </c>
      <c r="L1127" t="s">
        <v>2279</v>
      </c>
      <c r="M1127" t="s">
        <v>2279</v>
      </c>
      <c r="N1127" t="s">
        <v>2279</v>
      </c>
      <c r="O1127" s="190" t="str">
        <f>"["&amp;$C1127&amp;"]["&amp;$D1127&amp;"]["&amp;$F1127&amp;"]"</f>
        <v>[S10_AircraftInfringementPenalties][9][OtherPenalty]</v>
      </c>
    </row>
    <row r="1128" spans="1:15" x14ac:dyDescent="0.3">
      <c r="A1128" t="s">
        <v>2277</v>
      </c>
      <c r="B1128" t="s">
        <v>2162</v>
      </c>
      <c r="C1128" t="s">
        <v>2163</v>
      </c>
      <c r="D1128">
        <v>10</v>
      </c>
      <c r="E1128" t="s">
        <v>1447</v>
      </c>
      <c r="F1128" t="s">
        <v>2115</v>
      </c>
      <c r="G1128" t="s">
        <v>1791</v>
      </c>
      <c r="H1128" t="s">
        <v>2279</v>
      </c>
      <c r="I1128" t="s">
        <v>2279</v>
      </c>
      <c r="J1128" t="s">
        <v>2279</v>
      </c>
      <c r="K1128" t="s">
        <v>2401</v>
      </c>
      <c r="L1128" t="s">
        <v>2279</v>
      </c>
      <c r="M1128" t="s">
        <v>2279</v>
      </c>
      <c r="N1128" t="s">
        <v>2279</v>
      </c>
      <c r="O1128" s="190" t="str">
        <f>"["&amp;$C1128&amp;"]["&amp;$D1128&amp;"]["&amp;$F1128&amp;"]"</f>
        <v>[S10_AircraftInfringementPenalties][10][OtherPenalty]</v>
      </c>
    </row>
    <row r="1129" spans="1:15" x14ac:dyDescent="0.3">
      <c r="A1129" t="s">
        <v>2277</v>
      </c>
      <c r="B1129" t="s">
        <v>2162</v>
      </c>
      <c r="C1129" t="s">
        <v>2163</v>
      </c>
      <c r="D1129">
        <v>11</v>
      </c>
      <c r="E1129" t="s">
        <v>1447</v>
      </c>
      <c r="F1129" t="s">
        <v>2115</v>
      </c>
      <c r="G1129" t="s">
        <v>1791</v>
      </c>
      <c r="H1129" t="s">
        <v>2279</v>
      </c>
      <c r="I1129" t="s">
        <v>2279</v>
      </c>
      <c r="J1129" t="s">
        <v>2279</v>
      </c>
      <c r="K1129" t="s">
        <v>2401</v>
      </c>
      <c r="L1129" t="s">
        <v>2279</v>
      </c>
      <c r="M1129" t="s">
        <v>2279</v>
      </c>
      <c r="N1129" t="s">
        <v>2279</v>
      </c>
      <c r="O1129" s="190" t="str">
        <f>"["&amp;$C1129&amp;"]["&amp;$D1129&amp;"]["&amp;$F1129&amp;"]"</f>
        <v>[S10_AircraftInfringementPenalties][11][OtherPenalty]</v>
      </c>
    </row>
    <row r="1130" spans="1:15" x14ac:dyDescent="0.3">
      <c r="A1130" t="s">
        <v>2277</v>
      </c>
      <c r="B1130" t="s">
        <v>2162</v>
      </c>
      <c r="C1130" t="s">
        <v>2164</v>
      </c>
      <c r="D1130">
        <v>0</v>
      </c>
      <c r="E1130" t="s">
        <v>1447</v>
      </c>
      <c r="F1130" t="s">
        <v>2164</v>
      </c>
      <c r="G1130" t="s">
        <v>1741</v>
      </c>
      <c r="H1130" t="s">
        <v>2397</v>
      </c>
      <c r="I1130" t="s">
        <v>2279</v>
      </c>
      <c r="J1130" t="s">
        <v>2279</v>
      </c>
      <c r="K1130" t="s">
        <v>2279</v>
      </c>
      <c r="L1130" t="s">
        <v>2279</v>
      </c>
      <c r="M1130" t="s">
        <v>2279</v>
      </c>
      <c r="N1130" t="s">
        <v>2279</v>
      </c>
      <c r="O1130" s="190" t="str">
        <f>"["&amp;$C1130&amp;"]["&amp;$D1130&amp;"]["&amp;$F1130&amp;"]"</f>
        <v>[AircraftNationalLaw][0][AircraftNationalLaw]</v>
      </c>
    </row>
    <row r="1131" spans="1:15" x14ac:dyDescent="0.3">
      <c r="A1131" t="s">
        <v>2277</v>
      </c>
      <c r="B1131" t="s">
        <v>2165</v>
      </c>
      <c r="C1131" t="s">
        <v>2166</v>
      </c>
      <c r="D1131">
        <v>1</v>
      </c>
      <c r="E1131" t="s">
        <v>1447</v>
      </c>
      <c r="F1131" t="s">
        <v>2119</v>
      </c>
      <c r="G1131" t="s">
        <v>1737</v>
      </c>
      <c r="H1131" t="s">
        <v>2279</v>
      </c>
      <c r="I1131" t="s">
        <v>2279</v>
      </c>
      <c r="J1131" t="s">
        <v>2279</v>
      </c>
      <c r="K1131" t="s">
        <v>2279</v>
      </c>
      <c r="L1131" t="s">
        <v>1294</v>
      </c>
      <c r="M1131" t="s">
        <v>2279</v>
      </c>
      <c r="N1131" t="s">
        <v>2279</v>
      </c>
      <c r="O1131" s="190" t="str">
        <f>"["&amp;$C1131&amp;"]["&amp;$D1131&amp;"]["&amp;$F1131&amp;"]"</f>
        <v>[S10_AircraftPenaltiesImposed][1][InfringementType]</v>
      </c>
    </row>
    <row r="1132" spans="1:15" x14ac:dyDescent="0.3">
      <c r="A1132" t="s">
        <v>2277</v>
      </c>
      <c r="B1132" t="s">
        <v>2165</v>
      </c>
      <c r="C1132" t="s">
        <v>2166</v>
      </c>
      <c r="D1132">
        <v>2</v>
      </c>
      <c r="E1132" t="s">
        <v>1447</v>
      </c>
      <c r="F1132" t="s">
        <v>2119</v>
      </c>
      <c r="G1132" t="s">
        <v>1737</v>
      </c>
      <c r="H1132" t="s">
        <v>2279</v>
      </c>
      <c r="I1132" t="s">
        <v>2279</v>
      </c>
      <c r="J1132" t="s">
        <v>2279</v>
      </c>
      <c r="K1132" t="s">
        <v>2279</v>
      </c>
      <c r="L1132" t="s">
        <v>1315</v>
      </c>
      <c r="M1132" t="s">
        <v>2279</v>
      </c>
      <c r="N1132" t="s">
        <v>2279</v>
      </c>
      <c r="O1132" s="190" t="str">
        <f>"["&amp;$C1132&amp;"]["&amp;$D1132&amp;"]["&amp;$F1132&amp;"]"</f>
        <v>[S10_AircraftPenaltiesImposed][2][InfringementType]</v>
      </c>
    </row>
    <row r="1133" spans="1:15" x14ac:dyDescent="0.3">
      <c r="A1133" t="s">
        <v>2277</v>
      </c>
      <c r="B1133" t="s">
        <v>2165</v>
      </c>
      <c r="C1133" t="s">
        <v>2166</v>
      </c>
      <c r="D1133">
        <v>1</v>
      </c>
      <c r="E1133" t="s">
        <v>1447</v>
      </c>
      <c r="F1133" t="s">
        <v>2123</v>
      </c>
      <c r="G1133" t="s">
        <v>1759</v>
      </c>
      <c r="H1133" t="s">
        <v>2279</v>
      </c>
      <c r="I1133" t="s">
        <v>2279</v>
      </c>
      <c r="J1133" t="s">
        <v>2279</v>
      </c>
      <c r="K1133" t="s">
        <v>2279</v>
      </c>
      <c r="L1133" t="s">
        <v>1447</v>
      </c>
      <c r="M1133" t="s">
        <v>2279</v>
      </c>
      <c r="N1133" t="s">
        <v>2279</v>
      </c>
      <c r="O1133" s="190" t="str">
        <f>"["&amp;$C1133&amp;"]["&amp;$D1133&amp;"]["&amp;$F1133&amp;"]"</f>
        <v>[S10_AircraftPenaltiesImposed][1][OngoingProceedings]</v>
      </c>
    </row>
    <row r="1134" spans="1:15" x14ac:dyDescent="0.3">
      <c r="A1134" t="s">
        <v>2277</v>
      </c>
      <c r="B1134" t="s">
        <v>2165</v>
      </c>
      <c r="C1134" t="s">
        <v>2166</v>
      </c>
      <c r="D1134">
        <v>2</v>
      </c>
      <c r="E1134" t="s">
        <v>1447</v>
      </c>
      <c r="F1134" t="s">
        <v>2123</v>
      </c>
      <c r="G1134" t="s">
        <v>1759</v>
      </c>
      <c r="H1134" t="s">
        <v>2279</v>
      </c>
      <c r="I1134" t="s">
        <v>2279</v>
      </c>
      <c r="J1134" t="s">
        <v>2279</v>
      </c>
      <c r="K1134" t="s">
        <v>2279</v>
      </c>
      <c r="L1134" t="s">
        <v>1419</v>
      </c>
      <c r="M1134" t="s">
        <v>2279</v>
      </c>
      <c r="N1134" t="s">
        <v>2279</v>
      </c>
      <c r="O1134" s="190" t="str">
        <f>"["&amp;$C1134&amp;"]["&amp;$D1134&amp;"]["&amp;$F1134&amp;"]"</f>
        <v>[S10_AircraftPenaltiesImposed][2][OngoingProceedings]</v>
      </c>
    </row>
    <row r="1135" spans="1:15" x14ac:dyDescent="0.3">
      <c r="A1135" t="s">
        <v>2277</v>
      </c>
      <c r="B1135" t="s">
        <v>2165</v>
      </c>
      <c r="C1135" t="s">
        <v>2166</v>
      </c>
      <c r="D1135">
        <v>1</v>
      </c>
      <c r="E1135" t="s">
        <v>1447</v>
      </c>
      <c r="F1135" t="s">
        <v>2124</v>
      </c>
      <c r="G1135" t="s">
        <v>1759</v>
      </c>
      <c r="H1135" t="s">
        <v>2279</v>
      </c>
      <c r="I1135" t="s">
        <v>2279</v>
      </c>
      <c r="J1135" t="s">
        <v>2279</v>
      </c>
      <c r="K1135" t="s">
        <v>2279</v>
      </c>
      <c r="L1135" t="s">
        <v>1447</v>
      </c>
      <c r="M1135" t="s">
        <v>2279</v>
      </c>
      <c r="N1135" t="s">
        <v>2279</v>
      </c>
      <c r="O1135" s="190" t="str">
        <f>"["&amp;$C1135&amp;"]["&amp;$D1135&amp;"]["&amp;$F1135&amp;"]"</f>
        <v>[S10_AircraftPenaltiesImposed][1][PenaltyEnforcedWithinPeriod]</v>
      </c>
    </row>
    <row r="1136" spans="1:15" x14ac:dyDescent="0.3">
      <c r="A1136" t="s">
        <v>2277</v>
      </c>
      <c r="B1136" t="s">
        <v>2165</v>
      </c>
      <c r="C1136" t="s">
        <v>2166</v>
      </c>
      <c r="D1136">
        <v>2</v>
      </c>
      <c r="E1136" t="s">
        <v>1447</v>
      </c>
      <c r="F1136" t="s">
        <v>2124</v>
      </c>
      <c r="G1136" t="s">
        <v>1759</v>
      </c>
      <c r="H1136" t="s">
        <v>2279</v>
      </c>
      <c r="I1136" t="s">
        <v>2279</v>
      </c>
      <c r="J1136" t="s">
        <v>2279</v>
      </c>
      <c r="K1136" t="s">
        <v>2279</v>
      </c>
      <c r="L1136" t="s">
        <v>1447</v>
      </c>
      <c r="M1136" t="s">
        <v>2279</v>
      </c>
      <c r="N1136" t="s">
        <v>2279</v>
      </c>
      <c r="O1136" s="190" t="str">
        <f>"["&amp;$C1136&amp;"]["&amp;$D1136&amp;"]["&amp;$F1136&amp;"]"</f>
        <v>[S10_AircraftPenaltiesImposed][2][PenaltyEnforcedWithinPeriod]</v>
      </c>
    </row>
    <row r="1137" spans="1:15" x14ac:dyDescent="0.3">
      <c r="A1137" t="s">
        <v>2277</v>
      </c>
      <c r="B1137" t="s">
        <v>2165</v>
      </c>
      <c r="C1137" t="s">
        <v>2167</v>
      </c>
      <c r="D1137">
        <v>0</v>
      </c>
      <c r="E1137" t="s">
        <v>1447</v>
      </c>
      <c r="F1137" t="s">
        <v>2167</v>
      </c>
      <c r="G1137" t="s">
        <v>1759</v>
      </c>
      <c r="H1137" t="s">
        <v>2279</v>
      </c>
      <c r="I1137" t="s">
        <v>2279</v>
      </c>
      <c r="J1137" t="s">
        <v>2279</v>
      </c>
      <c r="K1137" t="s">
        <v>2279</v>
      </c>
      <c r="L1137" t="s">
        <v>1447</v>
      </c>
      <c r="M1137" t="s">
        <v>2279</v>
      </c>
      <c r="N1137" t="s">
        <v>2279</v>
      </c>
      <c r="O1137" s="190" t="str">
        <f>"["&amp;$C1137&amp;"]["&amp;$D1137&amp;"]["&amp;$F1137&amp;"]"</f>
        <v>[AircraftPriorPenaltiesEnforced][0][AircraftPriorPenaltiesEnforced]</v>
      </c>
    </row>
    <row r="1138" spans="1:15" x14ac:dyDescent="0.3">
      <c r="A1138" t="s">
        <v>2277</v>
      </c>
      <c r="B1138" t="s">
        <v>2172</v>
      </c>
      <c r="C1138" t="s">
        <v>2173</v>
      </c>
      <c r="D1138">
        <v>0</v>
      </c>
      <c r="E1138" t="s">
        <v>1447</v>
      </c>
      <c r="F1138" t="s">
        <v>2173</v>
      </c>
      <c r="G1138" t="s">
        <v>1741</v>
      </c>
      <c r="H1138" t="s">
        <v>2402</v>
      </c>
      <c r="I1138" t="s">
        <v>2279</v>
      </c>
      <c r="J1138" t="s">
        <v>2279</v>
      </c>
      <c r="K1138" t="s">
        <v>2279</v>
      </c>
      <c r="L1138" t="s">
        <v>2279</v>
      </c>
      <c r="M1138" t="s">
        <v>2279</v>
      </c>
      <c r="N1138" t="s">
        <v>2279</v>
      </c>
      <c r="O1138" s="190" t="str">
        <f>"["&amp;$C1138&amp;"]["&amp;$D1138&amp;"]["&amp;$F1138&amp;"]"</f>
        <v>[OperatingBanRequestMeasures][0][OperatingBanRequestMeasures]</v>
      </c>
    </row>
    <row r="1139" spans="1:15" x14ac:dyDescent="0.3">
      <c r="A1139" t="s">
        <v>2277</v>
      </c>
      <c r="B1139" t="s">
        <v>2174</v>
      </c>
      <c r="C1139" t="s">
        <v>2175</v>
      </c>
      <c r="D1139">
        <v>0</v>
      </c>
      <c r="E1139" t="s">
        <v>1447</v>
      </c>
      <c r="F1139" t="s">
        <v>2175</v>
      </c>
      <c r="G1139" t="s">
        <v>1741</v>
      </c>
      <c r="H1139" t="s">
        <v>2403</v>
      </c>
      <c r="I1139" t="s">
        <v>2279</v>
      </c>
      <c r="J1139" t="s">
        <v>2279</v>
      </c>
      <c r="K1139" t="s">
        <v>2279</v>
      </c>
      <c r="L1139" t="s">
        <v>2279</v>
      </c>
      <c r="M1139" t="s">
        <v>2279</v>
      </c>
      <c r="N1139" t="s">
        <v>2279</v>
      </c>
      <c r="O1139" s="190" t="str">
        <f>"["&amp;$C1139&amp;"]["&amp;$D1139&amp;"]["&amp;$F1139&amp;"]"</f>
        <v>[LegalNatureOfEmissionAllowance][0][LegalNatureOfEmissionAllowance]</v>
      </c>
    </row>
    <row r="1140" spans="1:15" x14ac:dyDescent="0.3">
      <c r="A1140" t="s">
        <v>2277</v>
      </c>
      <c r="B1140" t="s">
        <v>2176</v>
      </c>
      <c r="C1140" t="s">
        <v>2177</v>
      </c>
      <c r="D1140">
        <v>0</v>
      </c>
      <c r="E1140" t="s">
        <v>1447</v>
      </c>
      <c r="F1140" t="s">
        <v>2177</v>
      </c>
      <c r="G1140" t="s">
        <v>1741</v>
      </c>
      <c r="H1140" t="s">
        <v>2404</v>
      </c>
      <c r="I1140" t="s">
        <v>2279</v>
      </c>
      <c r="J1140" t="s">
        <v>2279</v>
      </c>
      <c r="K1140" t="s">
        <v>2279</v>
      </c>
      <c r="L1140" t="s">
        <v>2279</v>
      </c>
      <c r="M1140" t="s">
        <v>2279</v>
      </c>
      <c r="N1140" t="s">
        <v>2279</v>
      </c>
      <c r="O1140" s="190" t="str">
        <f>"["&amp;$C1140&amp;"]["&amp;$D1140&amp;"]["&amp;$F1140&amp;"]"</f>
        <v>[AccountingTreatmentOfEmissionAllowances][0][AccountingTreatmentOfEmissionAllowances]</v>
      </c>
    </row>
    <row r="1141" spans="1:15" x14ac:dyDescent="0.3">
      <c r="A1141" t="s">
        <v>2277</v>
      </c>
      <c r="B1141" t="s">
        <v>2178</v>
      </c>
      <c r="C1141" t="s">
        <v>2179</v>
      </c>
      <c r="D1141">
        <v>0</v>
      </c>
      <c r="E1141" t="s">
        <v>1447</v>
      </c>
      <c r="F1141" t="s">
        <v>2179</v>
      </c>
      <c r="G1141" t="s">
        <v>1759</v>
      </c>
      <c r="H1141" t="s">
        <v>2279</v>
      </c>
      <c r="I1141" t="s">
        <v>2279</v>
      </c>
      <c r="J1141" t="s">
        <v>2279</v>
      </c>
      <c r="K1141" t="s">
        <v>2279</v>
      </c>
      <c r="L1141" t="s">
        <v>1419</v>
      </c>
      <c r="M1141" t="s">
        <v>2279</v>
      </c>
      <c r="N1141" t="s">
        <v>2279</v>
      </c>
      <c r="O1141" s="190" t="str">
        <f>"["&amp;$C1141&amp;"]["&amp;$D1141&amp;"]["&amp;$F1141&amp;"]"</f>
        <v>[VATdueEmissionAllowancesIssuance][0][VATdueEmissionAllowancesIssuance]</v>
      </c>
    </row>
    <row r="1142" spans="1:15" x14ac:dyDescent="0.3">
      <c r="A1142" t="s">
        <v>2277</v>
      </c>
      <c r="B1142" t="s">
        <v>2178</v>
      </c>
      <c r="C1142" t="s">
        <v>2180</v>
      </c>
      <c r="D1142">
        <v>0</v>
      </c>
      <c r="E1142" t="s">
        <v>1447</v>
      </c>
      <c r="F1142" t="s">
        <v>2180</v>
      </c>
      <c r="G1142" t="s">
        <v>1759</v>
      </c>
      <c r="H1142" t="s">
        <v>2279</v>
      </c>
      <c r="I1142" t="s">
        <v>2279</v>
      </c>
      <c r="J1142" t="s">
        <v>2279</v>
      </c>
      <c r="K1142" t="s">
        <v>2279</v>
      </c>
      <c r="L1142" t="s">
        <v>1419</v>
      </c>
      <c r="M1142" t="s">
        <v>2279</v>
      </c>
      <c r="N1142" t="s">
        <v>2279</v>
      </c>
      <c r="O1142" s="190" t="str">
        <f>"["&amp;$C1142&amp;"]["&amp;$D1142&amp;"]["&amp;$F1142&amp;"]"</f>
        <v>[ReverseChargeMechanismEmissionAllowances][0][ReverseChargeMechanismEmissionAllowances]</v>
      </c>
    </row>
    <row r="1143" spans="1:15" x14ac:dyDescent="0.3">
      <c r="A1143" t="s">
        <v>2277</v>
      </c>
      <c r="B1143" t="s">
        <v>2181</v>
      </c>
      <c r="C1143" t="s">
        <v>2182</v>
      </c>
      <c r="D1143">
        <v>0</v>
      </c>
      <c r="E1143" t="s">
        <v>1447</v>
      </c>
      <c r="F1143" t="s">
        <v>2182</v>
      </c>
      <c r="G1143" t="s">
        <v>1759</v>
      </c>
      <c r="H1143" t="s">
        <v>2279</v>
      </c>
      <c r="I1143" t="s">
        <v>2279</v>
      </c>
      <c r="J1143" t="s">
        <v>2279</v>
      </c>
      <c r="K1143" t="s">
        <v>2279</v>
      </c>
      <c r="L1143" t="s">
        <v>1419</v>
      </c>
      <c r="M1143" t="s">
        <v>2279</v>
      </c>
      <c r="N1143" t="s">
        <v>2279</v>
      </c>
      <c r="O1143" s="190" t="str">
        <f>"["&amp;$C1143&amp;"]["&amp;$D1143&amp;"]["&amp;$F1143&amp;"]"</f>
        <v>[EmissionAllowancesTaxed][0][EmissionAllowancesTaxed]</v>
      </c>
    </row>
    <row r="1144" spans="1:15" x14ac:dyDescent="0.3">
      <c r="A1144" t="s">
        <v>2277</v>
      </c>
      <c r="B1144" t="s">
        <v>2181</v>
      </c>
      <c r="C1144" t="s">
        <v>2183</v>
      </c>
      <c r="D1144">
        <v>1</v>
      </c>
      <c r="E1144" t="s">
        <v>1447</v>
      </c>
      <c r="F1144" t="s">
        <v>2184</v>
      </c>
      <c r="G1144" t="s">
        <v>1741</v>
      </c>
      <c r="H1144" t="s">
        <v>2405</v>
      </c>
      <c r="I1144" t="s">
        <v>2279</v>
      </c>
      <c r="J1144" t="s">
        <v>2279</v>
      </c>
      <c r="K1144" t="s">
        <v>2279</v>
      </c>
      <c r="L1144" t="s">
        <v>2279</v>
      </c>
      <c r="M1144" t="s">
        <v>2279</v>
      </c>
      <c r="N1144" t="s">
        <v>2279</v>
      </c>
      <c r="O1144" s="190" t="str">
        <f>"["&amp;$C1144&amp;"]["&amp;$D1144&amp;"]["&amp;$F1144&amp;"]"</f>
        <v>[S11_TypeOfTaxRatesApplied][1][TypeOfTax]</v>
      </c>
    </row>
    <row r="1145" spans="1:15" x14ac:dyDescent="0.3">
      <c r="A1145" t="s">
        <v>2277</v>
      </c>
      <c r="B1145" t="s">
        <v>2181</v>
      </c>
      <c r="C1145" t="s">
        <v>2183</v>
      </c>
      <c r="D1145">
        <v>2</v>
      </c>
      <c r="E1145" t="s">
        <v>1447</v>
      </c>
      <c r="F1145" t="s">
        <v>2184</v>
      </c>
      <c r="G1145" t="s">
        <v>1741</v>
      </c>
      <c r="H1145" t="s">
        <v>2406</v>
      </c>
      <c r="I1145" t="s">
        <v>2279</v>
      </c>
      <c r="J1145" t="s">
        <v>2279</v>
      </c>
      <c r="K1145" t="s">
        <v>2279</v>
      </c>
      <c r="L1145" t="s">
        <v>2279</v>
      </c>
      <c r="M1145" t="s">
        <v>2279</v>
      </c>
      <c r="N1145" t="s">
        <v>2279</v>
      </c>
      <c r="O1145" s="190" t="str">
        <f>"["&amp;$C1145&amp;"]["&amp;$D1145&amp;"]["&amp;$F1145&amp;"]"</f>
        <v>[S11_TypeOfTaxRatesApplied][2][TypeOfTax]</v>
      </c>
    </row>
    <row r="1146" spans="1:15" x14ac:dyDescent="0.3">
      <c r="A1146" t="s">
        <v>2277</v>
      </c>
      <c r="B1146" t="s">
        <v>2181</v>
      </c>
      <c r="C1146" t="s">
        <v>2183</v>
      </c>
      <c r="D1146">
        <v>1</v>
      </c>
      <c r="E1146" t="s">
        <v>1447</v>
      </c>
      <c r="F1146" t="s">
        <v>2185</v>
      </c>
      <c r="G1146" t="s">
        <v>1741</v>
      </c>
      <c r="H1146" t="s">
        <v>2407</v>
      </c>
      <c r="I1146" t="s">
        <v>2279</v>
      </c>
      <c r="J1146" t="s">
        <v>2279</v>
      </c>
      <c r="K1146" t="s">
        <v>2279</v>
      </c>
      <c r="L1146" t="s">
        <v>2279</v>
      </c>
      <c r="M1146" t="s">
        <v>2279</v>
      </c>
      <c r="N1146" t="s">
        <v>2279</v>
      </c>
      <c r="O1146" s="190" t="str">
        <f>"["&amp;$C1146&amp;"]["&amp;$D1146&amp;"]["&amp;$F1146&amp;"]"</f>
        <v>[S11_TypeOfTaxRatesApplied][1][TaxRateApplied]</v>
      </c>
    </row>
    <row r="1147" spans="1:15" x14ac:dyDescent="0.3">
      <c r="A1147" t="s">
        <v>2277</v>
      </c>
      <c r="B1147" t="s">
        <v>2181</v>
      </c>
      <c r="C1147" t="s">
        <v>2183</v>
      </c>
      <c r="D1147">
        <v>2</v>
      </c>
      <c r="E1147" t="s">
        <v>1447</v>
      </c>
      <c r="F1147" t="s">
        <v>2185</v>
      </c>
      <c r="G1147" t="s">
        <v>1741</v>
      </c>
      <c r="H1147" t="s">
        <v>2408</v>
      </c>
      <c r="I1147" t="s">
        <v>2279</v>
      </c>
      <c r="J1147" t="s">
        <v>2279</v>
      </c>
      <c r="K1147" t="s">
        <v>2279</v>
      </c>
      <c r="L1147" t="s">
        <v>2279</v>
      </c>
      <c r="M1147" t="s">
        <v>2279</v>
      </c>
      <c r="N1147" t="s">
        <v>2279</v>
      </c>
      <c r="O1147" s="190" t="str">
        <f>"["&amp;$C1147&amp;"]["&amp;$D1147&amp;"]["&amp;$F1147&amp;"]"</f>
        <v>[S11_TypeOfTaxRatesApplied][2][TaxRateApplied]</v>
      </c>
    </row>
    <row r="1148" spans="1:15" x14ac:dyDescent="0.3">
      <c r="A1148" t="s">
        <v>2277</v>
      </c>
      <c r="B1148" t="s">
        <v>2186</v>
      </c>
      <c r="C1148" t="s">
        <v>2187</v>
      </c>
      <c r="D1148">
        <v>1</v>
      </c>
      <c r="E1148" t="s">
        <v>1447</v>
      </c>
      <c r="F1148" t="s">
        <v>2188</v>
      </c>
      <c r="G1148" t="s">
        <v>1741</v>
      </c>
      <c r="H1148" t="s">
        <v>2409</v>
      </c>
      <c r="I1148" t="s">
        <v>2279</v>
      </c>
      <c r="J1148" t="s">
        <v>2279</v>
      </c>
      <c r="K1148" t="s">
        <v>2279</v>
      </c>
      <c r="L1148" t="s">
        <v>2279</v>
      </c>
      <c r="M1148" t="s">
        <v>2279</v>
      </c>
      <c r="N1148" t="s">
        <v>2279</v>
      </c>
      <c r="O1148" s="190" t="str">
        <f>"["&amp;$C1148&amp;"]["&amp;$D1148&amp;"]["&amp;$F1148&amp;"]"</f>
        <v>[S12_FraudFreeAllocationOfAllowances][1][DetailsOfProceduresInNationalLaw]</v>
      </c>
    </row>
    <row r="1149" spans="1:15" x14ac:dyDescent="0.3">
      <c r="A1149" t="s">
        <v>2277</v>
      </c>
      <c r="B1149" t="s">
        <v>2186</v>
      </c>
      <c r="C1149" t="s">
        <v>2187</v>
      </c>
      <c r="D1149">
        <v>2</v>
      </c>
      <c r="E1149" t="s">
        <v>1447</v>
      </c>
      <c r="F1149" t="s">
        <v>2188</v>
      </c>
      <c r="G1149" t="s">
        <v>1741</v>
      </c>
      <c r="H1149" t="s">
        <v>1419</v>
      </c>
      <c r="I1149" t="s">
        <v>2279</v>
      </c>
      <c r="J1149" t="s">
        <v>2279</v>
      </c>
      <c r="K1149" t="s">
        <v>2279</v>
      </c>
      <c r="L1149" t="s">
        <v>2279</v>
      </c>
      <c r="M1149" t="s">
        <v>2279</v>
      </c>
      <c r="N1149" t="s">
        <v>2279</v>
      </c>
      <c r="O1149" s="190" t="str">
        <f>"["&amp;$C1149&amp;"]["&amp;$D1149&amp;"]["&amp;$F1149&amp;"]"</f>
        <v>[S12_FraudFreeAllocationOfAllowances][2][DetailsOfProceduresInNationalLaw]</v>
      </c>
    </row>
    <row r="1150" spans="1:15" x14ac:dyDescent="0.3">
      <c r="A1150" t="s">
        <v>2277</v>
      </c>
      <c r="B1150" t="s">
        <v>2186</v>
      </c>
      <c r="C1150" t="s">
        <v>2187</v>
      </c>
      <c r="D1150">
        <v>3</v>
      </c>
      <c r="E1150" t="s">
        <v>1447</v>
      </c>
      <c r="F1150" t="s">
        <v>2188</v>
      </c>
      <c r="G1150" t="s">
        <v>1741</v>
      </c>
      <c r="H1150" t="s">
        <v>2410</v>
      </c>
      <c r="I1150" t="s">
        <v>2279</v>
      </c>
      <c r="J1150" t="s">
        <v>2279</v>
      </c>
      <c r="K1150" t="s">
        <v>2279</v>
      </c>
      <c r="L1150" t="s">
        <v>2279</v>
      </c>
      <c r="M1150" t="s">
        <v>2279</v>
      </c>
      <c r="N1150" t="s">
        <v>2279</v>
      </c>
      <c r="O1150" s="190" t="str">
        <f>"["&amp;$C1150&amp;"]["&amp;$D1150&amp;"]["&amp;$F1150&amp;"]"</f>
        <v>[S12_FraudFreeAllocationOfAllowances][3][DetailsOfProceduresInNationalLaw]</v>
      </c>
    </row>
    <row r="1151" spans="1:15" x14ac:dyDescent="0.3">
      <c r="A1151" t="s">
        <v>2277</v>
      </c>
      <c r="B1151" t="s">
        <v>2186</v>
      </c>
      <c r="C1151" t="s">
        <v>2187</v>
      </c>
      <c r="D1151">
        <v>4</v>
      </c>
      <c r="E1151" t="s">
        <v>1447</v>
      </c>
      <c r="F1151" t="s">
        <v>2188</v>
      </c>
      <c r="G1151" t="s">
        <v>1741</v>
      </c>
      <c r="H1151" t="s">
        <v>2411</v>
      </c>
      <c r="I1151" t="s">
        <v>2279</v>
      </c>
      <c r="J1151" t="s">
        <v>2279</v>
      </c>
      <c r="K1151" t="s">
        <v>2279</v>
      </c>
      <c r="L1151" t="s">
        <v>2279</v>
      </c>
      <c r="M1151" t="s">
        <v>2279</v>
      </c>
      <c r="N1151" t="s">
        <v>2279</v>
      </c>
      <c r="O1151" s="190" t="str">
        <f>"["&amp;$C1151&amp;"]["&amp;$D1151&amp;"]["&amp;$F1151&amp;"]"</f>
        <v>[S12_FraudFreeAllocationOfAllowances][4][DetailsOfProceduresInNationalLaw]</v>
      </c>
    </row>
    <row r="1152" spans="1:15" x14ac:dyDescent="0.3">
      <c r="A1152" t="s">
        <v>2277</v>
      </c>
      <c r="B1152" t="s">
        <v>2186</v>
      </c>
      <c r="C1152" t="s">
        <v>2187</v>
      </c>
      <c r="D1152">
        <v>5</v>
      </c>
      <c r="E1152" t="s">
        <v>1447</v>
      </c>
      <c r="F1152" t="s">
        <v>2188</v>
      </c>
      <c r="G1152" t="s">
        <v>1741</v>
      </c>
      <c r="H1152" t="s">
        <v>2412</v>
      </c>
      <c r="I1152" t="s">
        <v>2279</v>
      </c>
      <c r="J1152" t="s">
        <v>2279</v>
      </c>
      <c r="K1152" t="s">
        <v>2279</v>
      </c>
      <c r="L1152" t="s">
        <v>2279</v>
      </c>
      <c r="M1152" t="s">
        <v>2279</v>
      </c>
      <c r="N1152" t="s">
        <v>2279</v>
      </c>
      <c r="O1152" s="190" t="str">
        <f>"["&amp;$C1152&amp;"]["&amp;$D1152&amp;"]["&amp;$F1152&amp;"]"</f>
        <v>[S12_FraudFreeAllocationOfAllowances][5][DetailsOfProceduresInNationalLaw]</v>
      </c>
    </row>
    <row r="1153" spans="1:15" x14ac:dyDescent="0.3">
      <c r="A1153" t="s">
        <v>2277</v>
      </c>
      <c r="B1153" t="s">
        <v>2186</v>
      </c>
      <c r="C1153" t="s">
        <v>2187</v>
      </c>
      <c r="D1153">
        <v>6</v>
      </c>
      <c r="E1153" t="s">
        <v>1447</v>
      </c>
      <c r="F1153" t="s">
        <v>2188</v>
      </c>
      <c r="G1153" t="s">
        <v>1741</v>
      </c>
      <c r="H1153" t="s">
        <v>2413</v>
      </c>
      <c r="I1153" t="s">
        <v>2279</v>
      </c>
      <c r="J1153" t="s">
        <v>2279</v>
      </c>
      <c r="K1153" t="s">
        <v>2279</v>
      </c>
      <c r="L1153" t="s">
        <v>2279</v>
      </c>
      <c r="M1153" t="s">
        <v>2279</v>
      </c>
      <c r="N1153" t="s">
        <v>2279</v>
      </c>
      <c r="O1153" s="190" t="str">
        <f>"["&amp;$C1153&amp;"]["&amp;$D1153&amp;"]["&amp;$F1153&amp;"]"</f>
        <v>[S12_FraudFreeAllocationOfAllowances][6][DetailsOfProceduresInNationalLaw]</v>
      </c>
    </row>
    <row r="1154" spans="1:15" x14ac:dyDescent="0.3">
      <c r="A1154" t="s">
        <v>2277</v>
      </c>
      <c r="B1154" t="s">
        <v>2189</v>
      </c>
      <c r="C1154" t="s">
        <v>2190</v>
      </c>
      <c r="D1154">
        <v>1</v>
      </c>
      <c r="E1154" t="s">
        <v>1447</v>
      </c>
      <c r="F1154" t="s">
        <v>2191</v>
      </c>
      <c r="G1154" t="s">
        <v>1741</v>
      </c>
      <c r="H1154" t="s">
        <v>2414</v>
      </c>
      <c r="I1154" t="s">
        <v>2279</v>
      </c>
      <c r="J1154" t="s">
        <v>2279</v>
      </c>
      <c r="K1154" t="s">
        <v>2279</v>
      </c>
      <c r="L1154" t="s">
        <v>2279</v>
      </c>
      <c r="M1154" t="s">
        <v>2279</v>
      </c>
      <c r="N1154" t="s">
        <v>2279</v>
      </c>
      <c r="O1154" s="190" t="str">
        <f>"["&amp;$C1154&amp;"]["&amp;$D1154&amp;"]["&amp;$F1154&amp;"]"</f>
        <v>[S12_CompetentAuthoritiesAwareOfFraud][1][DetailsOfArrangementsAndProcedures]</v>
      </c>
    </row>
    <row r="1155" spans="1:15" x14ac:dyDescent="0.3">
      <c r="A1155" t="s">
        <v>2277</v>
      </c>
      <c r="B1155" t="s">
        <v>2189</v>
      </c>
      <c r="C1155" t="s">
        <v>2190</v>
      </c>
      <c r="D1155">
        <v>2</v>
      </c>
      <c r="E1155" t="s">
        <v>1447</v>
      </c>
      <c r="F1155" t="s">
        <v>2191</v>
      </c>
      <c r="G1155" t="s">
        <v>1741</v>
      </c>
      <c r="H1155" t="s">
        <v>2401</v>
      </c>
      <c r="I1155" t="s">
        <v>2279</v>
      </c>
      <c r="J1155" t="s">
        <v>2279</v>
      </c>
      <c r="K1155" t="s">
        <v>2279</v>
      </c>
      <c r="L1155" t="s">
        <v>2279</v>
      </c>
      <c r="M1155" t="s">
        <v>2279</v>
      </c>
      <c r="N1155" t="s">
        <v>2279</v>
      </c>
      <c r="O1155" s="190" t="str">
        <f>"["&amp;$C1155&amp;"]["&amp;$D1155&amp;"]["&amp;$F1155&amp;"]"</f>
        <v>[S12_CompetentAuthoritiesAwareOfFraud][2][DetailsOfArrangementsAndProcedures]</v>
      </c>
    </row>
    <row r="1156" spans="1:15" x14ac:dyDescent="0.3">
      <c r="A1156" t="s">
        <v>2277</v>
      </c>
      <c r="B1156" t="s">
        <v>2189</v>
      </c>
      <c r="C1156" t="s">
        <v>2190</v>
      </c>
      <c r="D1156">
        <v>3</v>
      </c>
      <c r="E1156" t="s">
        <v>1447</v>
      </c>
      <c r="F1156" t="s">
        <v>2191</v>
      </c>
      <c r="G1156" t="s">
        <v>1741</v>
      </c>
      <c r="H1156" t="s">
        <v>2401</v>
      </c>
      <c r="I1156" t="s">
        <v>2279</v>
      </c>
      <c r="J1156" t="s">
        <v>2279</v>
      </c>
      <c r="K1156" t="s">
        <v>2279</v>
      </c>
      <c r="L1156" t="s">
        <v>2279</v>
      </c>
      <c r="M1156" t="s">
        <v>2279</v>
      </c>
      <c r="N1156" t="s">
        <v>2279</v>
      </c>
      <c r="O1156" s="190" t="str">
        <f>"["&amp;$C1156&amp;"]["&amp;$D1156&amp;"]["&amp;$F1156&amp;"]"</f>
        <v>[S12_CompetentAuthoritiesAwareOfFraud][3][DetailsOfArrangementsAndProcedures]</v>
      </c>
    </row>
    <row r="1157" spans="1:15" x14ac:dyDescent="0.3">
      <c r="A1157" t="s">
        <v>2277</v>
      </c>
      <c r="B1157" t="s">
        <v>2189</v>
      </c>
      <c r="C1157" t="s">
        <v>2190</v>
      </c>
      <c r="D1157">
        <v>4</v>
      </c>
      <c r="E1157" t="s">
        <v>1447</v>
      </c>
      <c r="F1157" t="s">
        <v>2191</v>
      </c>
      <c r="G1157" t="s">
        <v>1741</v>
      </c>
      <c r="H1157" t="s">
        <v>2401</v>
      </c>
      <c r="I1157" t="s">
        <v>2279</v>
      </c>
      <c r="J1157" t="s">
        <v>2279</v>
      </c>
      <c r="K1157" t="s">
        <v>2279</v>
      </c>
      <c r="L1157" t="s">
        <v>2279</v>
      </c>
      <c r="M1157" t="s">
        <v>2279</v>
      </c>
      <c r="N1157" t="s">
        <v>2279</v>
      </c>
      <c r="O1157" s="190" t="str">
        <f>"["&amp;$C1157&amp;"]["&amp;$D1157&amp;"]["&amp;$F1157&amp;"]"</f>
        <v>[S12_CompetentAuthoritiesAwareOfFraud][4][DetailsOfArrangementsAndProcedures]</v>
      </c>
    </row>
    <row r="1158" spans="1:15" x14ac:dyDescent="0.3">
      <c r="A1158" t="s">
        <v>2277</v>
      </c>
      <c r="B1158" t="s">
        <v>2192</v>
      </c>
      <c r="C1158" t="s">
        <v>2193</v>
      </c>
      <c r="D1158">
        <v>1</v>
      </c>
      <c r="E1158" t="s">
        <v>1447</v>
      </c>
      <c r="F1158" t="s">
        <v>2194</v>
      </c>
      <c r="G1158" t="s">
        <v>1748</v>
      </c>
      <c r="H1158" t="s">
        <v>2279</v>
      </c>
      <c r="I1158">
        <v>0</v>
      </c>
      <c r="J1158" t="s">
        <v>2279</v>
      </c>
      <c r="K1158" t="s">
        <v>2279</v>
      </c>
      <c r="L1158" t="s">
        <v>2279</v>
      </c>
      <c r="M1158" t="s">
        <v>2279</v>
      </c>
      <c r="N1158" t="s">
        <v>2279</v>
      </c>
      <c r="O1158" s="190" t="str">
        <f>"["&amp;$C1158&amp;"]["&amp;$D1158&amp;"]["&amp;$F1158&amp;"]"</f>
        <v>[S12_InformationOnFraudActivities][1][NumberOfActivities]</v>
      </c>
    </row>
    <row r="1159" spans="1:15" x14ac:dyDescent="0.3">
      <c r="A1159" t="s">
        <v>2277</v>
      </c>
      <c r="B1159" t="s">
        <v>2192</v>
      </c>
      <c r="C1159" t="s">
        <v>2193</v>
      </c>
      <c r="D1159">
        <v>2</v>
      </c>
      <c r="E1159" t="s">
        <v>1447</v>
      </c>
      <c r="F1159" t="s">
        <v>2194</v>
      </c>
      <c r="G1159" t="s">
        <v>1748</v>
      </c>
      <c r="H1159" t="s">
        <v>2279</v>
      </c>
      <c r="I1159">
        <v>0</v>
      </c>
      <c r="J1159" t="s">
        <v>2279</v>
      </c>
      <c r="K1159" t="s">
        <v>2279</v>
      </c>
      <c r="L1159" t="s">
        <v>2279</v>
      </c>
      <c r="M1159" t="s">
        <v>2279</v>
      </c>
      <c r="N1159" t="s">
        <v>2279</v>
      </c>
      <c r="O1159" s="190" t="str">
        <f>"["&amp;$C1159&amp;"]["&amp;$D1159&amp;"]["&amp;$F1159&amp;"]"</f>
        <v>[S12_InformationOnFraudActivities][2][NumberOfActivities]</v>
      </c>
    </row>
    <row r="1160" spans="1:15" x14ac:dyDescent="0.3">
      <c r="A1160" t="s">
        <v>2277</v>
      </c>
      <c r="B1160" t="s">
        <v>2192</v>
      </c>
      <c r="C1160" t="s">
        <v>2193</v>
      </c>
      <c r="D1160">
        <v>3</v>
      </c>
      <c r="E1160" t="s">
        <v>1447</v>
      </c>
      <c r="F1160" t="s">
        <v>2194</v>
      </c>
      <c r="G1160" t="s">
        <v>1748</v>
      </c>
      <c r="H1160" t="s">
        <v>2279</v>
      </c>
      <c r="I1160">
        <v>0</v>
      </c>
      <c r="J1160" t="s">
        <v>2279</v>
      </c>
      <c r="K1160" t="s">
        <v>2279</v>
      </c>
      <c r="L1160" t="s">
        <v>2279</v>
      </c>
      <c r="M1160" t="s">
        <v>2279</v>
      </c>
      <c r="N1160" t="s">
        <v>2279</v>
      </c>
      <c r="O1160" s="190" t="str">
        <f>"["&amp;$C1160&amp;"]["&amp;$D1160&amp;"]["&amp;$F1160&amp;"]"</f>
        <v>[S12_InformationOnFraudActivities][3][NumberOfActivities]</v>
      </c>
    </row>
    <row r="1161" spans="1:15" x14ac:dyDescent="0.3">
      <c r="A1161" t="s">
        <v>2277</v>
      </c>
      <c r="B1161" t="s">
        <v>2192</v>
      </c>
      <c r="C1161" t="s">
        <v>2193</v>
      </c>
      <c r="D1161">
        <v>4</v>
      </c>
      <c r="E1161" t="s">
        <v>1447</v>
      </c>
      <c r="F1161" t="s">
        <v>2194</v>
      </c>
      <c r="G1161" t="s">
        <v>1748</v>
      </c>
      <c r="H1161" t="s">
        <v>2279</v>
      </c>
      <c r="I1161">
        <v>0</v>
      </c>
      <c r="J1161" t="s">
        <v>2279</v>
      </c>
      <c r="K1161" t="s">
        <v>2279</v>
      </c>
      <c r="L1161" t="s">
        <v>2279</v>
      </c>
      <c r="M1161" t="s">
        <v>2279</v>
      </c>
      <c r="N1161" t="s">
        <v>2279</v>
      </c>
      <c r="O1161" s="190" t="str">
        <f>"["&amp;$C1161&amp;"]["&amp;$D1161&amp;"]["&amp;$F1161&amp;"]"</f>
        <v>[S12_InformationOnFraudActivities][4][NumberOfActivities]</v>
      </c>
    </row>
    <row r="1162" spans="1:15" x14ac:dyDescent="0.3">
      <c r="A1162" t="s">
        <v>2277</v>
      </c>
      <c r="B1162" t="s">
        <v>2195</v>
      </c>
      <c r="C1162" t="s">
        <v>2196</v>
      </c>
      <c r="D1162">
        <v>12</v>
      </c>
      <c r="E1162" t="s">
        <v>1447</v>
      </c>
      <c r="F1162" t="s">
        <v>2197</v>
      </c>
      <c r="G1162" t="s">
        <v>1791</v>
      </c>
      <c r="H1162" t="s">
        <v>2279</v>
      </c>
      <c r="I1162" t="s">
        <v>2279</v>
      </c>
      <c r="J1162" t="s">
        <v>2279</v>
      </c>
      <c r="K1162" t="s">
        <v>2415</v>
      </c>
      <c r="L1162" t="s">
        <v>2279</v>
      </c>
      <c r="M1162" t="s">
        <v>2279</v>
      </c>
      <c r="N1162" t="s">
        <v>2279</v>
      </c>
      <c r="O1162" s="190" t="str">
        <f>"["&amp;$C1162&amp;"]["&amp;$D1162&amp;"]["&amp;$F1162&amp;"]"</f>
        <v>[S13_AnyOtherIssues][12][OtherInformationOrIssues]</v>
      </c>
    </row>
    <row r="1163" spans="1:15" x14ac:dyDescent="0.3">
      <c r="A1163" t="s">
        <v>2277</v>
      </c>
      <c r="B1163" t="s">
        <v>2195</v>
      </c>
      <c r="C1163" t="s">
        <v>2196</v>
      </c>
      <c r="D1163">
        <v>13</v>
      </c>
      <c r="E1163" t="s">
        <v>1447</v>
      </c>
      <c r="F1163" t="s">
        <v>2197</v>
      </c>
      <c r="G1163" t="s">
        <v>1791</v>
      </c>
      <c r="H1163" t="s">
        <v>2279</v>
      </c>
      <c r="I1163" t="s">
        <v>2279</v>
      </c>
      <c r="J1163" t="s">
        <v>2279</v>
      </c>
      <c r="K1163" t="s">
        <v>2416</v>
      </c>
      <c r="L1163" t="s">
        <v>2279</v>
      </c>
      <c r="M1163" t="s">
        <v>2279</v>
      </c>
      <c r="N1163" t="s">
        <v>2279</v>
      </c>
      <c r="O1163" s="190" t="str">
        <f>"["&amp;$C1163&amp;"]["&amp;$D1163&amp;"]["&amp;$F1163&amp;"]"</f>
        <v>[S13_AnyOtherIssues][13][OtherInformationOrIssues]</v>
      </c>
    </row>
    <row r="1164" spans="1:15" x14ac:dyDescent="0.3">
      <c r="A1164" t="s">
        <v>2277</v>
      </c>
      <c r="B1164" t="s">
        <v>2195</v>
      </c>
      <c r="C1164" t="s">
        <v>2196</v>
      </c>
      <c r="D1164">
        <v>24</v>
      </c>
      <c r="E1164" t="s">
        <v>1447</v>
      </c>
      <c r="F1164" t="s">
        <v>2197</v>
      </c>
      <c r="G1164" t="s">
        <v>1791</v>
      </c>
      <c r="H1164" t="s">
        <v>2279</v>
      </c>
      <c r="I1164" t="s">
        <v>2279</v>
      </c>
      <c r="J1164" t="s">
        <v>2279</v>
      </c>
      <c r="K1164" t="s">
        <v>2417</v>
      </c>
      <c r="L1164" t="s">
        <v>2279</v>
      </c>
      <c r="M1164" t="s">
        <v>2279</v>
      </c>
      <c r="N1164" t="s">
        <v>2279</v>
      </c>
      <c r="O1164" s="190" t="str">
        <f>"["&amp;$C1164&amp;"]["&amp;$D1164&amp;"]["&amp;$F1164&amp;"]"</f>
        <v>[S13_AnyOtherIssues][24][OtherInformationOrIssues]</v>
      </c>
    </row>
    <row r="1165" spans="1:15" x14ac:dyDescent="0.3">
      <c r="A1165" t="s">
        <v>2277</v>
      </c>
      <c r="B1165" t="s">
        <v>2195</v>
      </c>
      <c r="C1165" t="s">
        <v>2196</v>
      </c>
      <c r="D1165">
        <v>25</v>
      </c>
      <c r="E1165" t="s">
        <v>1447</v>
      </c>
      <c r="F1165" t="s">
        <v>2197</v>
      </c>
      <c r="G1165" t="s">
        <v>1791</v>
      </c>
      <c r="H1165" t="s">
        <v>2279</v>
      </c>
      <c r="I1165" t="s">
        <v>2279</v>
      </c>
      <c r="J1165" t="s">
        <v>2279</v>
      </c>
      <c r="K1165" t="s">
        <v>2418</v>
      </c>
      <c r="L1165" t="s">
        <v>2279</v>
      </c>
      <c r="M1165" t="s">
        <v>2279</v>
      </c>
      <c r="N1165" t="s">
        <v>2279</v>
      </c>
      <c r="O1165" s="190" t="str">
        <f>"["&amp;$C1165&amp;"]["&amp;$D1165&amp;"]["&amp;$F1165&amp;"]"</f>
        <v>[S13_AnyOtherIssues][25][OtherInformationOrIssues]</v>
      </c>
    </row>
    <row r="1166" spans="1:15" x14ac:dyDescent="0.3">
      <c r="A1166" t="s">
        <v>2277</v>
      </c>
      <c r="B1166" t="s">
        <v>2195</v>
      </c>
      <c r="C1166" t="s">
        <v>2196</v>
      </c>
      <c r="D1166">
        <v>26</v>
      </c>
      <c r="E1166" t="s">
        <v>1447</v>
      </c>
      <c r="F1166" t="s">
        <v>2197</v>
      </c>
      <c r="G1166" t="s">
        <v>1791</v>
      </c>
      <c r="H1166" t="s">
        <v>2279</v>
      </c>
      <c r="I1166" t="s">
        <v>2279</v>
      </c>
      <c r="J1166" t="s">
        <v>2279</v>
      </c>
      <c r="K1166" t="s">
        <v>2419</v>
      </c>
      <c r="L1166" t="s">
        <v>2279</v>
      </c>
      <c r="M1166" t="s">
        <v>2279</v>
      </c>
      <c r="N1166" t="s">
        <v>2279</v>
      </c>
      <c r="O1166" s="190" t="str">
        <f>"["&amp;$C1166&amp;"]["&amp;$D1166&amp;"]["&amp;$F1166&amp;"]"</f>
        <v>[S13_AnyOtherIssues][26][OtherInformationOrIssues]</v>
      </c>
    </row>
    <row r="1167" spans="1:15" x14ac:dyDescent="0.3">
      <c r="A1167" t="s">
        <v>2277</v>
      </c>
      <c r="B1167" t="s">
        <v>2195</v>
      </c>
      <c r="C1167" t="s">
        <v>2196</v>
      </c>
      <c r="D1167">
        <v>35</v>
      </c>
      <c r="E1167" t="s">
        <v>1447</v>
      </c>
      <c r="F1167" t="s">
        <v>2197</v>
      </c>
      <c r="G1167" t="s">
        <v>1791</v>
      </c>
      <c r="H1167" t="s">
        <v>2279</v>
      </c>
      <c r="I1167" t="s">
        <v>2279</v>
      </c>
      <c r="J1167" t="s">
        <v>2279</v>
      </c>
      <c r="K1167" t="s">
        <v>2420</v>
      </c>
      <c r="L1167" t="s">
        <v>2279</v>
      </c>
      <c r="M1167" t="s">
        <v>2279</v>
      </c>
      <c r="N1167" t="s">
        <v>2279</v>
      </c>
      <c r="O1167" s="190" t="str">
        <f>"["&amp;$C1167&amp;"]["&amp;$D1167&amp;"]["&amp;$F1167&amp;"]"</f>
        <v>[S13_AnyOtherIssues][35][OtherInformationOrIssues]</v>
      </c>
    </row>
    <row r="1168" spans="1:15" x14ac:dyDescent="0.3">
      <c r="A1168" t="s">
        <v>2277</v>
      </c>
      <c r="B1168" t="s">
        <v>2195</v>
      </c>
      <c r="C1168" t="s">
        <v>2196</v>
      </c>
      <c r="D1168">
        <v>36</v>
      </c>
      <c r="E1168" t="s">
        <v>1447</v>
      </c>
      <c r="F1168" t="s">
        <v>2197</v>
      </c>
      <c r="G1168" t="s">
        <v>1791</v>
      </c>
      <c r="H1168" t="s">
        <v>2279</v>
      </c>
      <c r="I1168" t="s">
        <v>2279</v>
      </c>
      <c r="J1168" t="s">
        <v>2279</v>
      </c>
      <c r="K1168" t="s">
        <v>2421</v>
      </c>
      <c r="L1168" t="s">
        <v>2279</v>
      </c>
      <c r="M1168" t="s">
        <v>2279</v>
      </c>
      <c r="N1168" t="s">
        <v>2279</v>
      </c>
      <c r="O1168" s="190" t="str">
        <f>"["&amp;$C1168&amp;"]["&amp;$D1168&amp;"]["&amp;$F1168&amp;"]"</f>
        <v>[S13_AnyOtherIssues][36][OtherInformationOrIssues]</v>
      </c>
    </row>
    <row r="1169" spans="1:15" x14ac:dyDescent="0.3">
      <c r="A1169" t="s">
        <v>2277</v>
      </c>
      <c r="B1169" t="s">
        <v>2195</v>
      </c>
      <c r="C1169" t="s">
        <v>2196</v>
      </c>
      <c r="D1169">
        <v>37</v>
      </c>
      <c r="E1169" t="s">
        <v>1447</v>
      </c>
      <c r="F1169" t="s">
        <v>2197</v>
      </c>
      <c r="G1169" t="s">
        <v>1791</v>
      </c>
      <c r="H1169" t="s">
        <v>2279</v>
      </c>
      <c r="I1169" t="s">
        <v>2279</v>
      </c>
      <c r="J1169" t="s">
        <v>2279</v>
      </c>
      <c r="K1169" t="s">
        <v>2422</v>
      </c>
      <c r="L1169" t="s">
        <v>2279</v>
      </c>
      <c r="M1169" t="s">
        <v>2279</v>
      </c>
      <c r="N1169" t="s">
        <v>2279</v>
      </c>
      <c r="O1169" s="190" t="str">
        <f>"["&amp;$C1169&amp;"]["&amp;$D1169&amp;"]["&amp;$F1169&amp;"]"</f>
        <v>[S13_AnyOtherIssues][37][OtherInformationOrIssues]</v>
      </c>
    </row>
    <row r="1170" spans="1:15" x14ac:dyDescent="0.3">
      <c r="A1170" t="s">
        <v>2277</v>
      </c>
      <c r="B1170" t="s">
        <v>2195</v>
      </c>
      <c r="C1170" t="s">
        <v>2196</v>
      </c>
      <c r="D1170">
        <v>38</v>
      </c>
      <c r="E1170" t="s">
        <v>1447</v>
      </c>
      <c r="F1170" t="s">
        <v>2197</v>
      </c>
      <c r="G1170" t="s">
        <v>1791</v>
      </c>
      <c r="H1170" t="s">
        <v>2279</v>
      </c>
      <c r="I1170" t="s">
        <v>2279</v>
      </c>
      <c r="J1170" t="s">
        <v>2279</v>
      </c>
      <c r="K1170" t="s">
        <v>2422</v>
      </c>
      <c r="L1170" t="s">
        <v>2279</v>
      </c>
      <c r="M1170" t="s">
        <v>2279</v>
      </c>
      <c r="N1170" t="s">
        <v>2279</v>
      </c>
      <c r="O1170" s="190" t="str">
        <f>"["&amp;$C1170&amp;"]["&amp;$D1170&amp;"]["&amp;$F1170&amp;"]"</f>
        <v>[S13_AnyOtherIssues][38][OtherInformationOrIssues]</v>
      </c>
    </row>
    <row r="1171" spans="1:15" x14ac:dyDescent="0.3">
      <c r="A1171" t="s">
        <v>2277</v>
      </c>
      <c r="B1171" t="s">
        <v>2195</v>
      </c>
      <c r="C1171" t="s">
        <v>2196</v>
      </c>
      <c r="D1171">
        <v>39</v>
      </c>
      <c r="E1171" t="s">
        <v>1447</v>
      </c>
      <c r="F1171" t="s">
        <v>2197</v>
      </c>
      <c r="G1171" t="s">
        <v>1791</v>
      </c>
      <c r="H1171" t="s">
        <v>2279</v>
      </c>
      <c r="I1171" t="s">
        <v>2279</v>
      </c>
      <c r="J1171" t="s">
        <v>2279</v>
      </c>
      <c r="K1171" t="s">
        <v>2423</v>
      </c>
      <c r="L1171" t="s">
        <v>2279</v>
      </c>
      <c r="M1171" t="s">
        <v>2279</v>
      </c>
      <c r="N1171" t="s">
        <v>2279</v>
      </c>
      <c r="O1171" s="190" t="str">
        <f>"["&amp;$C1171&amp;"]["&amp;$D1171&amp;"]["&amp;$F1171&amp;"]"</f>
        <v>[S13_AnyOtherIssues][39][OtherInformationOrIssues]</v>
      </c>
    </row>
    <row r="1172" spans="1:15" x14ac:dyDescent="0.3">
      <c r="A1172" t="s">
        <v>2277</v>
      </c>
      <c r="B1172" t="s">
        <v>2195</v>
      </c>
      <c r="C1172" t="s">
        <v>2196</v>
      </c>
      <c r="D1172">
        <v>47</v>
      </c>
      <c r="E1172" t="s">
        <v>1447</v>
      </c>
      <c r="F1172" t="s">
        <v>2197</v>
      </c>
      <c r="G1172" t="s">
        <v>1791</v>
      </c>
      <c r="H1172" t="s">
        <v>2279</v>
      </c>
      <c r="I1172" t="s">
        <v>2279</v>
      </c>
      <c r="J1172" t="s">
        <v>2279</v>
      </c>
      <c r="K1172" t="s">
        <v>2424</v>
      </c>
      <c r="L1172" t="s">
        <v>2279</v>
      </c>
      <c r="M1172" t="s">
        <v>2279</v>
      </c>
      <c r="N1172" t="s">
        <v>2279</v>
      </c>
      <c r="O1172" s="190" t="str">
        <f>"["&amp;$C1172&amp;"]["&amp;$D1172&amp;"]["&amp;$F1172&amp;"]"</f>
        <v>[S13_AnyOtherIssues][47][OtherInformationOrIssues]</v>
      </c>
    </row>
    <row r="1173" spans="1:15" x14ac:dyDescent="0.3">
      <c r="A1173" t="s">
        <v>2277</v>
      </c>
      <c r="B1173" t="s">
        <v>2195</v>
      </c>
      <c r="C1173" t="s">
        <v>2196</v>
      </c>
      <c r="D1173">
        <v>48</v>
      </c>
      <c r="E1173" t="s">
        <v>1447</v>
      </c>
      <c r="F1173" t="s">
        <v>2197</v>
      </c>
      <c r="G1173" t="s">
        <v>1791</v>
      </c>
      <c r="H1173" t="s">
        <v>2279</v>
      </c>
      <c r="I1173" t="s">
        <v>2279</v>
      </c>
      <c r="J1173" t="s">
        <v>2279</v>
      </c>
      <c r="K1173" t="s">
        <v>2425</v>
      </c>
      <c r="L1173" t="s">
        <v>2279</v>
      </c>
      <c r="M1173" t="s">
        <v>2279</v>
      </c>
      <c r="N1173" t="s">
        <v>2279</v>
      </c>
      <c r="O1173" s="190" t="str">
        <f>"["&amp;$C1173&amp;"]["&amp;$D1173&amp;"]["&amp;$F1173&amp;"]"</f>
        <v>[S13_AnyOtherIssues][48][OtherInformationOrIssues]</v>
      </c>
    </row>
    <row r="1174" spans="1:15" x14ac:dyDescent="0.3">
      <c r="A1174" t="s">
        <v>2277</v>
      </c>
      <c r="B1174" t="s">
        <v>2195</v>
      </c>
      <c r="C1174" t="s">
        <v>2196</v>
      </c>
      <c r="D1174">
        <v>49</v>
      </c>
      <c r="E1174" t="s">
        <v>1447</v>
      </c>
      <c r="F1174" t="s">
        <v>2197</v>
      </c>
      <c r="G1174" t="s">
        <v>1791</v>
      </c>
      <c r="H1174" t="s">
        <v>2279</v>
      </c>
      <c r="I1174" t="s">
        <v>2279</v>
      </c>
      <c r="J1174" t="s">
        <v>2279</v>
      </c>
      <c r="K1174" t="s">
        <v>2426</v>
      </c>
      <c r="L1174" t="s">
        <v>2279</v>
      </c>
      <c r="M1174" t="s">
        <v>2279</v>
      </c>
      <c r="N1174" t="s">
        <v>2279</v>
      </c>
      <c r="O1174" s="190" t="str">
        <f>"["&amp;$C1174&amp;"]["&amp;$D1174&amp;"]["&amp;$F1174&amp;"]"</f>
        <v>[S13_AnyOtherIssues][49][OtherInformationOrIssues]</v>
      </c>
    </row>
    <row r="1175" spans="1:15" x14ac:dyDescent="0.3">
      <c r="A1175" t="s">
        <v>2277</v>
      </c>
      <c r="B1175" t="s">
        <v>2195</v>
      </c>
      <c r="C1175" t="s">
        <v>2196</v>
      </c>
      <c r="D1175">
        <v>50</v>
      </c>
      <c r="E1175" t="s">
        <v>1447</v>
      </c>
      <c r="F1175" t="s">
        <v>2197</v>
      </c>
      <c r="G1175" t="s">
        <v>1791</v>
      </c>
      <c r="H1175" t="s">
        <v>2279</v>
      </c>
      <c r="I1175" t="s">
        <v>2279</v>
      </c>
      <c r="J1175" t="s">
        <v>2279</v>
      </c>
      <c r="K1175" t="s">
        <v>2427</v>
      </c>
      <c r="L1175" t="s">
        <v>2279</v>
      </c>
      <c r="M1175" t="s">
        <v>2279</v>
      </c>
      <c r="N1175" t="s">
        <v>2279</v>
      </c>
      <c r="O1175" s="190" t="str">
        <f>"["&amp;$C1175&amp;"]["&amp;$D1175&amp;"]["&amp;$F1175&amp;"]"</f>
        <v>[S13_AnyOtherIssues][50][OtherInformationOrIssues]</v>
      </c>
    </row>
    <row r="1176" spans="1:15" x14ac:dyDescent="0.3">
      <c r="A1176" t="s">
        <v>2277</v>
      </c>
      <c r="B1176" t="s">
        <v>2195</v>
      </c>
      <c r="C1176" t="s">
        <v>2196</v>
      </c>
      <c r="D1176">
        <v>51</v>
      </c>
      <c r="E1176" t="s">
        <v>1447</v>
      </c>
      <c r="F1176" t="s">
        <v>2197</v>
      </c>
      <c r="G1176" t="s">
        <v>1791</v>
      </c>
      <c r="H1176" t="s">
        <v>2279</v>
      </c>
      <c r="I1176" t="s">
        <v>2279</v>
      </c>
      <c r="J1176" t="s">
        <v>2279</v>
      </c>
      <c r="K1176" t="s">
        <v>2428</v>
      </c>
      <c r="L1176" t="s">
        <v>2279</v>
      </c>
      <c r="M1176" t="s">
        <v>2279</v>
      </c>
      <c r="N1176" t="s">
        <v>2279</v>
      </c>
      <c r="O1176" s="190" t="str">
        <f>"["&amp;$C1176&amp;"]["&amp;$D1176&amp;"]["&amp;$F1176&amp;"]"</f>
        <v>[S13_AnyOtherIssues][51][OtherInformationOrIssues]</v>
      </c>
    </row>
    <row r="1177" spans="1:15" x14ac:dyDescent="0.3">
      <c r="A1177" t="s">
        <v>2277</v>
      </c>
      <c r="B1177" t="s">
        <v>2195</v>
      </c>
      <c r="C1177" t="s">
        <v>2196</v>
      </c>
      <c r="D1177">
        <v>68</v>
      </c>
      <c r="E1177" t="s">
        <v>1447</v>
      </c>
      <c r="F1177" t="s">
        <v>2197</v>
      </c>
      <c r="G1177" t="s">
        <v>1791</v>
      </c>
      <c r="H1177" t="s">
        <v>2279</v>
      </c>
      <c r="I1177" t="s">
        <v>2279</v>
      </c>
      <c r="J1177" t="s">
        <v>2279</v>
      </c>
      <c r="K1177" t="s">
        <v>2429</v>
      </c>
      <c r="L1177" t="s">
        <v>2279</v>
      </c>
      <c r="M1177" t="s">
        <v>2279</v>
      </c>
      <c r="N1177" t="s">
        <v>2279</v>
      </c>
      <c r="O1177" s="190" t="str">
        <f>"["&amp;$C1177&amp;"]["&amp;$D1177&amp;"]["&amp;$F1177&amp;"]"</f>
        <v>[S13_AnyOtherIssues][68][OtherInformationOrIssues]</v>
      </c>
    </row>
    <row r="1178" spans="1:15" x14ac:dyDescent="0.3">
      <c r="A1178" t="s">
        <v>2277</v>
      </c>
      <c r="B1178" t="s">
        <v>2195</v>
      </c>
      <c r="C1178" t="s">
        <v>2196</v>
      </c>
      <c r="D1178">
        <v>69</v>
      </c>
      <c r="E1178" t="s">
        <v>1447</v>
      </c>
      <c r="F1178" t="s">
        <v>2197</v>
      </c>
      <c r="G1178" t="s">
        <v>1791</v>
      </c>
      <c r="H1178" t="s">
        <v>2279</v>
      </c>
      <c r="I1178" t="s">
        <v>2279</v>
      </c>
      <c r="J1178" t="s">
        <v>2279</v>
      </c>
      <c r="K1178" t="s">
        <v>2430</v>
      </c>
      <c r="L1178" t="s">
        <v>2279</v>
      </c>
      <c r="M1178" t="s">
        <v>2279</v>
      </c>
      <c r="N1178" t="s">
        <v>2279</v>
      </c>
      <c r="O1178" s="190" t="str">
        <f>"["&amp;$C1178&amp;"]["&amp;$D1178&amp;"]["&amp;$F1178&amp;"]"</f>
        <v>[S13_AnyOtherIssues][69][OtherInformationOrIssues]</v>
      </c>
    </row>
    <row r="1179" spans="1:15" x14ac:dyDescent="0.3">
      <c r="A1179" t="s">
        <v>2277</v>
      </c>
      <c r="B1179" t="s">
        <v>2195</v>
      </c>
      <c r="C1179" t="s">
        <v>2196</v>
      </c>
      <c r="D1179">
        <v>71</v>
      </c>
      <c r="E1179" t="s">
        <v>1447</v>
      </c>
      <c r="F1179" t="s">
        <v>2197</v>
      </c>
      <c r="G1179" t="s">
        <v>1791</v>
      </c>
      <c r="H1179" t="s">
        <v>2279</v>
      </c>
      <c r="I1179" t="s">
        <v>2279</v>
      </c>
      <c r="J1179" t="s">
        <v>2279</v>
      </c>
      <c r="K1179" t="s">
        <v>2431</v>
      </c>
      <c r="L1179" t="s">
        <v>2279</v>
      </c>
      <c r="M1179" t="s">
        <v>2279</v>
      </c>
      <c r="N1179" t="s">
        <v>2279</v>
      </c>
      <c r="O1179" s="190" t="str">
        <f>"["&amp;$C1179&amp;"]["&amp;$D1179&amp;"]["&amp;$F1179&amp;"]"</f>
        <v>[S13_AnyOtherIssues][71][OtherInformationOrIssues]</v>
      </c>
    </row>
    <row r="1180" spans="1:15" x14ac:dyDescent="0.3">
      <c r="A1180" t="s">
        <v>2277</v>
      </c>
      <c r="B1180" t="s">
        <v>2195</v>
      </c>
      <c r="C1180" t="s">
        <v>2196</v>
      </c>
      <c r="D1180">
        <v>72</v>
      </c>
      <c r="E1180" t="s">
        <v>1447</v>
      </c>
      <c r="F1180" t="s">
        <v>2197</v>
      </c>
      <c r="G1180" t="s">
        <v>1791</v>
      </c>
      <c r="H1180" t="s">
        <v>2279</v>
      </c>
      <c r="I1180" t="s">
        <v>2279</v>
      </c>
      <c r="J1180" t="s">
        <v>2279</v>
      </c>
      <c r="K1180" t="s">
        <v>2432</v>
      </c>
      <c r="L1180" t="s">
        <v>2279</v>
      </c>
      <c r="M1180" t="s">
        <v>2279</v>
      </c>
      <c r="N1180" t="s">
        <v>2279</v>
      </c>
      <c r="O1180" s="190" t="str">
        <f>"["&amp;$C1180&amp;"]["&amp;$D1180&amp;"]["&amp;$F1180&amp;"]"</f>
        <v>[S13_AnyOtherIssues][72][OtherInformationOrIssues]</v>
      </c>
    </row>
    <row r="1181" spans="1:15" x14ac:dyDescent="0.3">
      <c r="A1181" t="s">
        <v>2277</v>
      </c>
      <c r="B1181" t="s">
        <v>2195</v>
      </c>
      <c r="C1181" t="s">
        <v>2196</v>
      </c>
      <c r="D1181">
        <v>73</v>
      </c>
      <c r="E1181" t="s">
        <v>1447</v>
      </c>
      <c r="F1181" t="s">
        <v>2197</v>
      </c>
      <c r="G1181" t="s">
        <v>1791</v>
      </c>
      <c r="H1181" t="s">
        <v>2279</v>
      </c>
      <c r="I1181" t="s">
        <v>2279</v>
      </c>
      <c r="J1181" t="s">
        <v>2279</v>
      </c>
      <c r="K1181" t="s">
        <v>2416</v>
      </c>
      <c r="L1181" t="s">
        <v>2279</v>
      </c>
      <c r="M1181" t="s">
        <v>2279</v>
      </c>
      <c r="N1181" t="s">
        <v>2279</v>
      </c>
      <c r="O1181" s="190" t="str">
        <f>"["&amp;$C1181&amp;"]["&amp;$D1181&amp;"]["&amp;$F1181&amp;"]"</f>
        <v>[S13_AnyOtherIssues][73][OtherInformationOrIssues]</v>
      </c>
    </row>
    <row r="1182" spans="1:15" x14ac:dyDescent="0.3">
      <c r="A1182" t="s">
        <v>2277</v>
      </c>
      <c r="B1182" t="s">
        <v>2195</v>
      </c>
      <c r="C1182" t="s">
        <v>2196</v>
      </c>
      <c r="D1182">
        <v>12</v>
      </c>
      <c r="E1182" t="s">
        <v>1447</v>
      </c>
      <c r="F1182" t="s">
        <v>2198</v>
      </c>
      <c r="G1182" t="s">
        <v>1737</v>
      </c>
      <c r="H1182" t="s">
        <v>2279</v>
      </c>
      <c r="I1182" t="s">
        <v>2279</v>
      </c>
      <c r="J1182" t="s">
        <v>2279</v>
      </c>
      <c r="K1182" t="s">
        <v>2279</v>
      </c>
      <c r="L1182" t="s">
        <v>1606</v>
      </c>
      <c r="M1182" t="s">
        <v>2279</v>
      </c>
      <c r="N1182" t="s">
        <v>2279</v>
      </c>
      <c r="O1182" s="190" t="str">
        <f>"["&amp;$C1182&amp;"]["&amp;$D1182&amp;"]["&amp;$F1182&amp;"]"</f>
        <v>[S13_AnyOtherIssues][12][QuestionnaireSubQuestion]</v>
      </c>
    </row>
    <row r="1183" spans="1:15" x14ac:dyDescent="0.3">
      <c r="A1183" t="s">
        <v>2277</v>
      </c>
      <c r="B1183" t="s">
        <v>2195</v>
      </c>
      <c r="C1183" t="s">
        <v>2196</v>
      </c>
      <c r="D1183">
        <v>13</v>
      </c>
      <c r="E1183" t="s">
        <v>1447</v>
      </c>
      <c r="F1183" t="s">
        <v>2198</v>
      </c>
      <c r="G1183" t="s">
        <v>1737</v>
      </c>
      <c r="H1183" t="s">
        <v>2279</v>
      </c>
      <c r="I1183" t="s">
        <v>2279</v>
      </c>
      <c r="J1183" t="s">
        <v>2279</v>
      </c>
      <c r="K1183" t="s">
        <v>2279</v>
      </c>
      <c r="L1183" t="s">
        <v>1621</v>
      </c>
      <c r="M1183" t="s">
        <v>2279</v>
      </c>
      <c r="N1183" t="s">
        <v>2279</v>
      </c>
      <c r="O1183" s="190" t="str">
        <f>"["&amp;$C1183&amp;"]["&amp;$D1183&amp;"]["&amp;$F1183&amp;"]"</f>
        <v>[S13_AnyOtherIssues][13][QuestionnaireSubQuestion]</v>
      </c>
    </row>
    <row r="1184" spans="1:15" x14ac:dyDescent="0.3">
      <c r="A1184" t="s">
        <v>2277</v>
      </c>
      <c r="B1184" t="s">
        <v>2195</v>
      </c>
      <c r="C1184" t="s">
        <v>2196</v>
      </c>
      <c r="D1184">
        <v>24</v>
      </c>
      <c r="E1184" t="s">
        <v>1447</v>
      </c>
      <c r="F1184" t="s">
        <v>2198</v>
      </c>
      <c r="G1184" t="s">
        <v>1737</v>
      </c>
      <c r="H1184" t="s">
        <v>2279</v>
      </c>
      <c r="I1184" t="s">
        <v>2279</v>
      </c>
      <c r="J1184" t="s">
        <v>2279</v>
      </c>
      <c r="K1184" t="s">
        <v>2279</v>
      </c>
      <c r="L1184" t="s">
        <v>1672</v>
      </c>
      <c r="M1184" t="s">
        <v>2279</v>
      </c>
      <c r="N1184" t="s">
        <v>2279</v>
      </c>
      <c r="O1184" s="190" t="str">
        <f>"["&amp;$C1184&amp;"]["&amp;$D1184&amp;"]["&amp;$F1184&amp;"]"</f>
        <v>[S13_AnyOtherIssues][24][QuestionnaireSubQuestion]</v>
      </c>
    </row>
    <row r="1185" spans="1:15" x14ac:dyDescent="0.3">
      <c r="A1185" t="s">
        <v>2277</v>
      </c>
      <c r="B1185" t="s">
        <v>2195</v>
      </c>
      <c r="C1185" t="s">
        <v>2196</v>
      </c>
      <c r="D1185">
        <v>25</v>
      </c>
      <c r="E1185" t="s">
        <v>1447</v>
      </c>
      <c r="F1185" t="s">
        <v>2198</v>
      </c>
      <c r="G1185" t="s">
        <v>1737</v>
      </c>
      <c r="H1185" t="s">
        <v>2279</v>
      </c>
      <c r="I1185" t="s">
        <v>2279</v>
      </c>
      <c r="J1185" t="s">
        <v>2279</v>
      </c>
      <c r="K1185" t="s">
        <v>2279</v>
      </c>
      <c r="L1185" t="s">
        <v>1673</v>
      </c>
      <c r="M1185" t="s">
        <v>2279</v>
      </c>
      <c r="N1185" t="s">
        <v>2279</v>
      </c>
      <c r="O1185" s="190" t="str">
        <f>"["&amp;$C1185&amp;"]["&amp;$D1185&amp;"]["&amp;$F1185&amp;"]"</f>
        <v>[S13_AnyOtherIssues][25][QuestionnaireSubQuestion]</v>
      </c>
    </row>
    <row r="1186" spans="1:15" x14ac:dyDescent="0.3">
      <c r="A1186" t="s">
        <v>2277</v>
      </c>
      <c r="B1186" t="s">
        <v>2195</v>
      </c>
      <c r="C1186" t="s">
        <v>2196</v>
      </c>
      <c r="D1186">
        <v>26</v>
      </c>
      <c r="E1186" t="s">
        <v>1447</v>
      </c>
      <c r="F1186" t="s">
        <v>2198</v>
      </c>
      <c r="G1186" t="s">
        <v>1737</v>
      </c>
      <c r="H1186" t="s">
        <v>2279</v>
      </c>
      <c r="I1186" t="s">
        <v>2279</v>
      </c>
      <c r="J1186" t="s">
        <v>2279</v>
      </c>
      <c r="K1186" t="s">
        <v>2279</v>
      </c>
      <c r="L1186" t="s">
        <v>1673</v>
      </c>
      <c r="M1186" t="s">
        <v>2279</v>
      </c>
      <c r="N1186" t="s">
        <v>2279</v>
      </c>
      <c r="O1186" s="190" t="str">
        <f>"["&amp;$C1186&amp;"]["&amp;$D1186&amp;"]["&amp;$F1186&amp;"]"</f>
        <v>[S13_AnyOtherIssues][26][QuestionnaireSubQuestion]</v>
      </c>
    </row>
    <row r="1187" spans="1:15" x14ac:dyDescent="0.3">
      <c r="A1187" t="s">
        <v>2277</v>
      </c>
      <c r="B1187" t="s">
        <v>2195</v>
      </c>
      <c r="C1187" t="s">
        <v>2196</v>
      </c>
      <c r="D1187">
        <v>35</v>
      </c>
      <c r="E1187" t="s">
        <v>1447</v>
      </c>
      <c r="F1187" t="s">
        <v>2198</v>
      </c>
      <c r="G1187" t="s">
        <v>1737</v>
      </c>
      <c r="H1187" t="s">
        <v>2279</v>
      </c>
      <c r="I1187" t="s">
        <v>2279</v>
      </c>
      <c r="J1187" t="s">
        <v>2279</v>
      </c>
      <c r="K1187" t="s">
        <v>2279</v>
      </c>
      <c r="L1187" t="s">
        <v>1687</v>
      </c>
      <c r="M1187" t="s">
        <v>2279</v>
      </c>
      <c r="N1187" t="s">
        <v>2279</v>
      </c>
      <c r="O1187" s="190" t="str">
        <f>"["&amp;$C1187&amp;"]["&amp;$D1187&amp;"]["&amp;$F1187&amp;"]"</f>
        <v>[S13_AnyOtherIssues][35][QuestionnaireSubQuestion]</v>
      </c>
    </row>
    <row r="1188" spans="1:15" x14ac:dyDescent="0.3">
      <c r="A1188" t="s">
        <v>2277</v>
      </c>
      <c r="B1188" t="s">
        <v>2195</v>
      </c>
      <c r="C1188" t="s">
        <v>2196</v>
      </c>
      <c r="D1188">
        <v>36</v>
      </c>
      <c r="E1188" t="s">
        <v>1447</v>
      </c>
      <c r="F1188" t="s">
        <v>2198</v>
      </c>
      <c r="G1188" t="s">
        <v>1737</v>
      </c>
      <c r="H1188" t="s">
        <v>2279</v>
      </c>
      <c r="I1188" t="s">
        <v>2279</v>
      </c>
      <c r="J1188" t="s">
        <v>2279</v>
      </c>
      <c r="K1188" t="s">
        <v>2279</v>
      </c>
      <c r="L1188" t="s">
        <v>1677</v>
      </c>
      <c r="M1188" t="s">
        <v>2279</v>
      </c>
      <c r="N1188" t="s">
        <v>2279</v>
      </c>
      <c r="O1188" s="190" t="str">
        <f>"["&amp;$C1188&amp;"]["&amp;$D1188&amp;"]["&amp;$F1188&amp;"]"</f>
        <v>[S13_AnyOtherIssues][36][QuestionnaireSubQuestion]</v>
      </c>
    </row>
    <row r="1189" spans="1:15" x14ac:dyDescent="0.3">
      <c r="A1189" t="s">
        <v>2277</v>
      </c>
      <c r="B1189" t="s">
        <v>2195</v>
      </c>
      <c r="C1189" t="s">
        <v>2196</v>
      </c>
      <c r="D1189">
        <v>37</v>
      </c>
      <c r="E1189" t="s">
        <v>1447</v>
      </c>
      <c r="F1189" t="s">
        <v>2198</v>
      </c>
      <c r="G1189" t="s">
        <v>1737</v>
      </c>
      <c r="H1189" t="s">
        <v>2279</v>
      </c>
      <c r="I1189" t="s">
        <v>2279</v>
      </c>
      <c r="J1189" t="s">
        <v>2279</v>
      </c>
      <c r="K1189" t="s">
        <v>2279</v>
      </c>
      <c r="L1189" t="s">
        <v>1685</v>
      </c>
      <c r="M1189" t="s">
        <v>2279</v>
      </c>
      <c r="N1189" t="s">
        <v>2279</v>
      </c>
      <c r="O1189" s="190" t="str">
        <f>"["&amp;$C1189&amp;"]["&amp;$D1189&amp;"]["&amp;$F1189&amp;"]"</f>
        <v>[S13_AnyOtherIssues][37][QuestionnaireSubQuestion]</v>
      </c>
    </row>
    <row r="1190" spans="1:15" x14ac:dyDescent="0.3">
      <c r="A1190" t="s">
        <v>2277</v>
      </c>
      <c r="B1190" t="s">
        <v>2195</v>
      </c>
      <c r="C1190" t="s">
        <v>2196</v>
      </c>
      <c r="D1190">
        <v>38</v>
      </c>
      <c r="E1190" t="s">
        <v>1447</v>
      </c>
      <c r="F1190" t="s">
        <v>2198</v>
      </c>
      <c r="G1190" t="s">
        <v>1737</v>
      </c>
      <c r="H1190" t="s">
        <v>2279</v>
      </c>
      <c r="I1190" t="s">
        <v>2279</v>
      </c>
      <c r="J1190" t="s">
        <v>2279</v>
      </c>
      <c r="K1190" t="s">
        <v>2279</v>
      </c>
      <c r="L1190" t="s">
        <v>2433</v>
      </c>
      <c r="M1190" t="s">
        <v>2279</v>
      </c>
      <c r="N1190" t="s">
        <v>2279</v>
      </c>
      <c r="O1190" s="190" t="str">
        <f>"["&amp;$C1190&amp;"]["&amp;$D1190&amp;"]["&amp;$F1190&amp;"]"</f>
        <v>[S13_AnyOtherIssues][38][QuestionnaireSubQuestion]</v>
      </c>
    </row>
    <row r="1191" spans="1:15" x14ac:dyDescent="0.3">
      <c r="A1191" t="s">
        <v>2277</v>
      </c>
      <c r="B1191" t="s">
        <v>2195</v>
      </c>
      <c r="C1191" t="s">
        <v>2196</v>
      </c>
      <c r="D1191">
        <v>39</v>
      </c>
      <c r="E1191" t="s">
        <v>1447</v>
      </c>
      <c r="F1191" t="s">
        <v>2198</v>
      </c>
      <c r="G1191" t="s">
        <v>1737</v>
      </c>
      <c r="H1191" t="s">
        <v>2279</v>
      </c>
      <c r="I1191" t="s">
        <v>2279</v>
      </c>
      <c r="J1191" t="s">
        <v>2279</v>
      </c>
      <c r="K1191" t="s">
        <v>2279</v>
      </c>
      <c r="L1191" t="s">
        <v>1678</v>
      </c>
      <c r="M1191" t="s">
        <v>2279</v>
      </c>
      <c r="N1191" t="s">
        <v>2279</v>
      </c>
      <c r="O1191" s="190" t="str">
        <f>"["&amp;$C1191&amp;"]["&amp;$D1191&amp;"]["&amp;$F1191&amp;"]"</f>
        <v>[S13_AnyOtherIssues][39][QuestionnaireSubQuestion]</v>
      </c>
    </row>
    <row r="1192" spans="1:15" x14ac:dyDescent="0.3">
      <c r="A1192" t="s">
        <v>2277</v>
      </c>
      <c r="B1192" t="s">
        <v>2195</v>
      </c>
      <c r="C1192" t="s">
        <v>2196</v>
      </c>
      <c r="D1192">
        <v>47</v>
      </c>
      <c r="E1192" t="s">
        <v>1447</v>
      </c>
      <c r="F1192" t="s">
        <v>2198</v>
      </c>
      <c r="G1192" t="s">
        <v>1737</v>
      </c>
      <c r="H1192" t="s">
        <v>2279</v>
      </c>
      <c r="I1192" t="s">
        <v>2279</v>
      </c>
      <c r="J1192" t="s">
        <v>2279</v>
      </c>
      <c r="K1192" t="s">
        <v>2279</v>
      </c>
      <c r="L1192" t="s">
        <v>1688</v>
      </c>
      <c r="M1192" t="s">
        <v>2279</v>
      </c>
      <c r="N1192" t="s">
        <v>2279</v>
      </c>
      <c r="O1192" s="190" t="str">
        <f>"["&amp;$C1192&amp;"]["&amp;$D1192&amp;"]["&amp;$F1192&amp;"]"</f>
        <v>[S13_AnyOtherIssues][47][QuestionnaireSubQuestion]</v>
      </c>
    </row>
    <row r="1193" spans="1:15" x14ac:dyDescent="0.3">
      <c r="A1193" t="s">
        <v>2277</v>
      </c>
      <c r="B1193" t="s">
        <v>2195</v>
      </c>
      <c r="C1193" t="s">
        <v>2196</v>
      </c>
      <c r="D1193">
        <v>48</v>
      </c>
      <c r="E1193" t="s">
        <v>1447</v>
      </c>
      <c r="F1193" t="s">
        <v>2198</v>
      </c>
      <c r="G1193" t="s">
        <v>1737</v>
      </c>
      <c r="H1193" t="s">
        <v>2279</v>
      </c>
      <c r="I1193" t="s">
        <v>2279</v>
      </c>
      <c r="J1193" t="s">
        <v>2279</v>
      </c>
      <c r="K1193" t="s">
        <v>2279</v>
      </c>
      <c r="L1193" t="s">
        <v>1689</v>
      </c>
      <c r="M1193" t="s">
        <v>2279</v>
      </c>
      <c r="N1193" t="s">
        <v>2279</v>
      </c>
      <c r="O1193" s="190" t="str">
        <f>"["&amp;$C1193&amp;"]["&amp;$D1193&amp;"]["&amp;$F1193&amp;"]"</f>
        <v>[S13_AnyOtherIssues][48][QuestionnaireSubQuestion]</v>
      </c>
    </row>
    <row r="1194" spans="1:15" x14ac:dyDescent="0.3">
      <c r="A1194" t="s">
        <v>2277</v>
      </c>
      <c r="B1194" t="s">
        <v>2195</v>
      </c>
      <c r="C1194" t="s">
        <v>2196</v>
      </c>
      <c r="D1194">
        <v>49</v>
      </c>
      <c r="E1194" t="s">
        <v>1447</v>
      </c>
      <c r="F1194" t="s">
        <v>2198</v>
      </c>
      <c r="G1194" t="s">
        <v>1737</v>
      </c>
      <c r="H1194" t="s">
        <v>2279</v>
      </c>
      <c r="I1194" t="s">
        <v>2279</v>
      </c>
      <c r="J1194" t="s">
        <v>2279</v>
      </c>
      <c r="K1194" t="s">
        <v>2279</v>
      </c>
      <c r="L1194" t="s">
        <v>1690</v>
      </c>
      <c r="M1194" t="s">
        <v>2279</v>
      </c>
      <c r="N1194" t="s">
        <v>2279</v>
      </c>
      <c r="O1194" s="190" t="str">
        <f>"["&amp;$C1194&amp;"]["&amp;$D1194&amp;"]["&amp;$F1194&amp;"]"</f>
        <v>[S13_AnyOtherIssues][49][QuestionnaireSubQuestion]</v>
      </c>
    </row>
    <row r="1195" spans="1:15" x14ac:dyDescent="0.3">
      <c r="A1195" t="s">
        <v>2277</v>
      </c>
      <c r="B1195" t="s">
        <v>2195</v>
      </c>
      <c r="C1195" t="s">
        <v>2196</v>
      </c>
      <c r="D1195">
        <v>50</v>
      </c>
      <c r="E1195" t="s">
        <v>1447</v>
      </c>
      <c r="F1195" t="s">
        <v>2198</v>
      </c>
      <c r="G1195" t="s">
        <v>1737</v>
      </c>
      <c r="H1195" t="s">
        <v>2279</v>
      </c>
      <c r="I1195" t="s">
        <v>2279</v>
      </c>
      <c r="J1195" t="s">
        <v>2279</v>
      </c>
      <c r="K1195" t="s">
        <v>2279</v>
      </c>
      <c r="L1195" t="s">
        <v>1704</v>
      </c>
      <c r="M1195" t="s">
        <v>2279</v>
      </c>
      <c r="N1195" t="s">
        <v>2279</v>
      </c>
      <c r="O1195" s="190" t="str">
        <f>"["&amp;$C1195&amp;"]["&amp;$D1195&amp;"]["&amp;$F1195&amp;"]"</f>
        <v>[S13_AnyOtherIssues][50][QuestionnaireSubQuestion]</v>
      </c>
    </row>
    <row r="1196" spans="1:15" x14ac:dyDescent="0.3">
      <c r="A1196" t="s">
        <v>2277</v>
      </c>
      <c r="B1196" t="s">
        <v>2195</v>
      </c>
      <c r="C1196" t="s">
        <v>2196</v>
      </c>
      <c r="D1196">
        <v>51</v>
      </c>
      <c r="E1196" t="s">
        <v>1447</v>
      </c>
      <c r="F1196" t="s">
        <v>2198</v>
      </c>
      <c r="G1196" t="s">
        <v>1737</v>
      </c>
      <c r="H1196" t="s">
        <v>2279</v>
      </c>
      <c r="I1196" t="s">
        <v>2279</v>
      </c>
      <c r="J1196" t="s">
        <v>2279</v>
      </c>
      <c r="K1196" t="s">
        <v>2279</v>
      </c>
      <c r="L1196" t="s">
        <v>1706</v>
      </c>
      <c r="M1196" t="s">
        <v>2279</v>
      </c>
      <c r="N1196" t="s">
        <v>2279</v>
      </c>
      <c r="O1196" s="190" t="str">
        <f>"["&amp;$C1196&amp;"]["&amp;$D1196&amp;"]["&amp;$F1196&amp;"]"</f>
        <v>[S13_AnyOtherIssues][51][QuestionnaireSubQuestion]</v>
      </c>
    </row>
    <row r="1197" spans="1:15" x14ac:dyDescent="0.3">
      <c r="A1197" t="s">
        <v>2277</v>
      </c>
      <c r="B1197" t="s">
        <v>2195</v>
      </c>
      <c r="C1197" t="s">
        <v>2196</v>
      </c>
      <c r="D1197">
        <v>68</v>
      </c>
      <c r="E1197" t="s">
        <v>1447</v>
      </c>
      <c r="F1197" t="s">
        <v>2198</v>
      </c>
      <c r="G1197" t="s">
        <v>1737</v>
      </c>
      <c r="H1197" t="s">
        <v>2279</v>
      </c>
      <c r="I1197" t="s">
        <v>2279</v>
      </c>
      <c r="J1197" t="s">
        <v>2279</v>
      </c>
      <c r="K1197" t="s">
        <v>2279</v>
      </c>
      <c r="L1197" t="s">
        <v>1708</v>
      </c>
      <c r="M1197" t="s">
        <v>2279</v>
      </c>
      <c r="N1197" t="s">
        <v>2279</v>
      </c>
      <c r="O1197" s="190" t="str">
        <f>"["&amp;$C1197&amp;"]["&amp;$D1197&amp;"]["&amp;$F1197&amp;"]"</f>
        <v>[S13_AnyOtherIssues][68][QuestionnaireSubQuestion]</v>
      </c>
    </row>
    <row r="1198" spans="1:15" x14ac:dyDescent="0.3">
      <c r="A1198" t="s">
        <v>2277</v>
      </c>
      <c r="B1198" t="s">
        <v>2195</v>
      </c>
      <c r="C1198" t="s">
        <v>2196</v>
      </c>
      <c r="D1198">
        <v>69</v>
      </c>
      <c r="E1198" t="s">
        <v>1447</v>
      </c>
      <c r="F1198" t="s">
        <v>2198</v>
      </c>
      <c r="G1198" t="s">
        <v>1737</v>
      </c>
      <c r="H1198" t="s">
        <v>2279</v>
      </c>
      <c r="I1198" t="s">
        <v>2279</v>
      </c>
      <c r="J1198" t="s">
        <v>2279</v>
      </c>
      <c r="K1198" t="s">
        <v>2279</v>
      </c>
      <c r="L1198" t="s">
        <v>1710</v>
      </c>
      <c r="M1198" t="s">
        <v>2279</v>
      </c>
      <c r="N1198" t="s">
        <v>2279</v>
      </c>
      <c r="O1198" s="190" t="str">
        <f>"["&amp;$C1198&amp;"]["&amp;$D1198&amp;"]["&amp;$F1198&amp;"]"</f>
        <v>[S13_AnyOtherIssues][69][QuestionnaireSubQuestion]</v>
      </c>
    </row>
    <row r="1199" spans="1:15" x14ac:dyDescent="0.3">
      <c r="A1199" t="s">
        <v>2277</v>
      </c>
      <c r="B1199" t="s">
        <v>2195</v>
      </c>
      <c r="C1199" t="s">
        <v>2196</v>
      </c>
      <c r="D1199">
        <v>71</v>
      </c>
      <c r="E1199" t="s">
        <v>1447</v>
      </c>
      <c r="F1199" t="s">
        <v>2198</v>
      </c>
      <c r="G1199" t="s">
        <v>1737</v>
      </c>
      <c r="H1199" t="s">
        <v>2279</v>
      </c>
      <c r="I1199" t="s">
        <v>2279</v>
      </c>
      <c r="J1199" t="s">
        <v>2279</v>
      </c>
      <c r="K1199" t="s">
        <v>2279</v>
      </c>
      <c r="L1199" t="s">
        <v>1713</v>
      </c>
      <c r="M1199" t="s">
        <v>2279</v>
      </c>
      <c r="N1199" t="s">
        <v>2279</v>
      </c>
      <c r="O1199" s="190" t="str">
        <f>"["&amp;$C1199&amp;"]["&amp;$D1199&amp;"]["&amp;$F1199&amp;"]"</f>
        <v>[S13_AnyOtherIssues][71][QuestionnaireSubQuestion]</v>
      </c>
    </row>
    <row r="1200" spans="1:15" x14ac:dyDescent="0.3">
      <c r="A1200" t="s">
        <v>2277</v>
      </c>
      <c r="B1200" t="s">
        <v>2195</v>
      </c>
      <c r="C1200" t="s">
        <v>2196</v>
      </c>
      <c r="D1200">
        <v>72</v>
      </c>
      <c r="E1200" t="s">
        <v>1447</v>
      </c>
      <c r="F1200" t="s">
        <v>2198</v>
      </c>
      <c r="G1200" t="s">
        <v>1737</v>
      </c>
      <c r="H1200" t="s">
        <v>2279</v>
      </c>
      <c r="I1200" t="s">
        <v>2279</v>
      </c>
      <c r="J1200" t="s">
        <v>2279</v>
      </c>
      <c r="K1200" t="s">
        <v>2279</v>
      </c>
      <c r="L1200" t="s">
        <v>1717</v>
      </c>
      <c r="M1200" t="s">
        <v>2279</v>
      </c>
      <c r="N1200" t="s">
        <v>2279</v>
      </c>
      <c r="O1200" s="190" t="str">
        <f>"["&amp;$C1200&amp;"]["&amp;$D1200&amp;"]["&amp;$F1200&amp;"]"</f>
        <v>[S13_AnyOtherIssues][72][QuestionnaireSubQuestion]</v>
      </c>
    </row>
    <row r="1201" spans="1:15" x14ac:dyDescent="0.3">
      <c r="A1201" t="s">
        <v>2277</v>
      </c>
      <c r="B1201" t="s">
        <v>2195</v>
      </c>
      <c r="C1201" t="s">
        <v>2196</v>
      </c>
      <c r="D1201">
        <v>73</v>
      </c>
      <c r="E1201" t="s">
        <v>1447</v>
      </c>
      <c r="F1201" t="s">
        <v>2198</v>
      </c>
      <c r="G1201" t="s">
        <v>1737</v>
      </c>
      <c r="H1201" t="s">
        <v>2279</v>
      </c>
      <c r="I1201" t="s">
        <v>2279</v>
      </c>
      <c r="J1201" t="s">
        <v>2279</v>
      </c>
      <c r="K1201" t="s">
        <v>2279</v>
      </c>
      <c r="L1201" t="s">
        <v>1718</v>
      </c>
      <c r="M1201" t="s">
        <v>2279</v>
      </c>
      <c r="N1201" t="s">
        <v>2279</v>
      </c>
      <c r="O1201" s="190" t="str">
        <f>"["&amp;$C1201&amp;"]["&amp;$D1201&amp;"]["&amp;$F1201&amp;"]"</f>
        <v>[S13_AnyOtherIssues][73][QuestionnaireSubQuestion]</v>
      </c>
    </row>
    <row r="1202" spans="1:15" x14ac:dyDescent="0.3">
      <c r="A1202" t="s">
        <v>2277</v>
      </c>
      <c r="B1202" t="s">
        <v>2195</v>
      </c>
      <c r="C1202" t="s">
        <v>2196</v>
      </c>
      <c r="D1202">
        <v>74</v>
      </c>
      <c r="E1202" t="s">
        <v>1447</v>
      </c>
      <c r="F1202" t="s">
        <v>2198</v>
      </c>
      <c r="G1202" t="s">
        <v>1737</v>
      </c>
      <c r="H1202" t="s">
        <v>2279</v>
      </c>
      <c r="I1202" t="s">
        <v>2279</v>
      </c>
      <c r="J1202" t="s">
        <v>2279</v>
      </c>
      <c r="K1202" t="s">
        <v>2279</v>
      </c>
      <c r="L1202" t="s">
        <v>1719</v>
      </c>
      <c r="M1202" t="s">
        <v>2279</v>
      </c>
      <c r="N1202" t="s">
        <v>2279</v>
      </c>
      <c r="O1202" s="190" t="str">
        <f>"["&amp;$C1202&amp;"]["&amp;$D1202&amp;"]["&amp;$F1202&amp;"]"</f>
        <v>[S13_AnyOtherIssues][74][QuestionnaireSubQuestion]</v>
      </c>
    </row>
    <row r="1203" spans="1:15" x14ac:dyDescent="0.3">
      <c r="A1203" t="s">
        <v>2277</v>
      </c>
      <c r="B1203" t="s">
        <v>2199</v>
      </c>
      <c r="C1203" t="s">
        <v>2200</v>
      </c>
      <c r="D1203">
        <v>0</v>
      </c>
      <c r="E1203" t="s">
        <v>1447</v>
      </c>
      <c r="F1203" t="s">
        <v>2200</v>
      </c>
      <c r="G1203" t="s">
        <v>1759</v>
      </c>
      <c r="H1203" t="s">
        <v>2279</v>
      </c>
      <c r="I1203" t="s">
        <v>2279</v>
      </c>
      <c r="J1203" t="s">
        <v>2279</v>
      </c>
      <c r="K1203" t="s">
        <v>2279</v>
      </c>
      <c r="L1203" t="s">
        <v>1419</v>
      </c>
      <c r="M1203" t="s">
        <v>2279</v>
      </c>
      <c r="N1203" t="s">
        <v>2279</v>
      </c>
      <c r="O1203" s="190" t="str">
        <f>"["&amp;$C1203&amp;"]["&amp;$D1203&amp;"]["&amp;$F1203&amp;"]"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16</v>
      </c>
      <c r="H33" s="475"/>
      <c r="I33" s="476"/>
    </row>
    <row r="34" spans="1:9" ht="28.95" customHeight="1" x14ac:dyDescent="0.3">
      <c r="C34" s="314" t="s">
        <v>1156</v>
      </c>
      <c r="D34" s="333"/>
      <c r="E34" s="333"/>
      <c r="F34" s="334"/>
      <c r="G34" s="474" t="str">
        <f>_xlfn.CONCAT(_xlfn.XLOOKUP("[S08_RenunciationSuspensionAllowances][2][NumberOfInstallations]",Submission!$O:$O,Submission!$H:$N,""))</f>
        <v>0</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Yes</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4</v>
      </c>
      <c r="D40" s="472"/>
      <c r="E40" s="472"/>
      <c r="F40" s="473"/>
      <c r="G40" s="471" t="str">
        <f>_xlfn.CONCAT(_xlfn.XLOOKUP("[S08_SubInstallationBenchmark61Detail][1][HeatBenchmark]",Submission!$O:$O,Submission!$H:$N,""))</f>
        <v>5</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Yes</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1</v>
      </c>
      <c r="D45" s="472"/>
      <c r="E45" s="472"/>
      <c r="F45" s="473"/>
      <c r="G45" s="471" t="str">
        <f>_xlfn.CONCAT(_xlfn.XLOOKUP("[S08_SubInstallationBenchmark61RejectDetail][1][HeatBenchmark]",Submission!$O:$O,Submission!$H:$N,""))</f>
        <v>1</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Yes</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1</v>
      </c>
      <c r="D50" s="472"/>
      <c r="E50" s="472"/>
      <c r="F50" s="473"/>
      <c r="G50" s="471" t="str">
        <f>_xlfn.CONCAT(_xlfn.XLOOKUP("[S08_SubInstallationBenchmark62Detail][1][HeatBenchmark]",Submission!$O:$O,Submission!$H:$N,""))</f>
        <v>0</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1</v>
      </c>
      <c r="H54" s="475"/>
      <c r="I54" s="476"/>
    </row>
    <row r="55" spans="1:9" ht="29.4" customHeight="1" x14ac:dyDescent="0.3">
      <c r="C55" s="249" t="s">
        <v>1168</v>
      </c>
      <c r="D55" s="272"/>
      <c r="E55" s="272"/>
      <c r="F55" s="273"/>
      <c r="G55" s="474" t="str">
        <f>_xlfn.CONCAT(_xlfn.XLOOKUP("[S08_ScopeExclusion][2][NumberOfInstallations]",Submission!$O:$O,Submission!$H:$N,""))</f>
        <v>9</v>
      </c>
      <c r="H55" s="475"/>
      <c r="I55" s="476"/>
    </row>
    <row r="56" spans="1:9" ht="29.4" customHeight="1" x14ac:dyDescent="0.3">
      <c r="C56" s="249" t="s">
        <v>1169</v>
      </c>
      <c r="D56" s="272"/>
      <c r="E56" s="272"/>
      <c r="F56" s="273"/>
      <c r="G56" s="474" t="str">
        <f>_xlfn.CONCAT(_xlfn.XLOOKUP("[S08_ScopeExclusion][3][NumberOfInstallations]",Submission!$O:$O,Submission!$H:$N,""))</f>
        <v>0</v>
      </c>
      <c r="H56" s="475"/>
      <c r="I56" s="476"/>
    </row>
    <row r="57" spans="1:9" ht="29.4" customHeight="1" x14ac:dyDescent="0.3">
      <c r="C57" s="249" t="s">
        <v>1170</v>
      </c>
      <c r="D57" s="272"/>
      <c r="E57" s="272"/>
      <c r="F57" s="273"/>
      <c r="G57" s="474" t="str">
        <f>_xlfn.CONCAT(_xlfn.XLOOKUP("[S08_ScopeExclusion][4][NumberOfInstallations]",Submission!$O:$O,Submission!$H:$N,""))</f>
        <v>0</v>
      </c>
      <c r="H57" s="475"/>
      <c r="I57" s="476"/>
    </row>
    <row r="58" spans="1:9" ht="29.4" customHeight="1" x14ac:dyDescent="0.3">
      <c r="C58" s="249" t="s">
        <v>1171</v>
      </c>
      <c r="D58" s="272"/>
      <c r="E58" s="272"/>
      <c r="F58" s="273"/>
      <c r="G58" s="474" t="str">
        <f>_xlfn.CONCAT(_xlfn.XLOOKUP("[S08_ScopeExclusion][5][NumberOfInstallations]",Submission!$O:$O,Submission!$H:$N,""))</f>
        <v>0</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Yes</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Emission data, CHP tool data and EE data as included in the ALCR-template</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1</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Yes</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20 - Combustion of fuels as specified in Annex I of Directive 2003/87/EC</v>
      </c>
      <c r="D157" s="260"/>
      <c r="E157" s="72" t="str">
        <f>_xlfn.CONCAT(_xlfn.XLOOKUP("[S08_ActivityDataIssuesDetail]["&amp;ROW(B157)-ROW($B$156)&amp;"][TypeOfIssue]",Submission!$O:$O,Submission!$H:$N,""))</f>
        <v>Non-material misstatements</v>
      </c>
      <c r="F157" s="106" t="str">
        <f>_xlfn.CONCAT(_xlfn.XLOOKUP("[S08_ActivityDataIssuesDetail]["&amp;ROW(B157)-ROW($B$156)&amp;"][NumberOfInstallations]",Submission!$O:$O,Submission!$H:$N,""))</f>
        <v>3</v>
      </c>
      <c r="G157" s="106" t="str">
        <f>_xlfn.CONCAT(_xlfn.XLOOKUP("[S08_ActivityDataIssuesDetail]["&amp;ROW(B157)-ROW($B$156)&amp;"][NumberOfIssues]",Submission!$O:$O,Submission!$H:$N,""))</f>
        <v>3</v>
      </c>
      <c r="H157" s="461" t="str">
        <f>_xlfn.CONCAT(_xlfn.XLOOKUP("[S08_ActivityDataIssuesDetail]["&amp;ROW(B157)-ROW($B$156)&amp;"][NumberOfInstallationsConEst]",Submission!$O:$O,Submission!$H:$N,""))</f>
        <v>0</v>
      </c>
      <c r="I157" s="462"/>
    </row>
    <row r="158" spans="1:9" ht="54" customHeight="1" x14ac:dyDescent="0.3">
      <c r="C158" s="258" t="str">
        <f>_xlfn.CONCAT(_xlfn.XLOOKUP("[S08_ActivityDataIssuesDetail]["&amp;ROW(B158)-ROW($B$156)&amp;"][AnnexIActivity]",Submission!$O:$O,Submission!$H:$N,""))</f>
        <v>20 - Combustion of fuels as specified in Annex I of Directive 2003/87/EC</v>
      </c>
      <c r="D158" s="260"/>
      <c r="E158" s="72" t="str">
        <f>_xlfn.CONCAT(_xlfn.XLOOKUP("[S08_ActivityDataIssuesDetail]["&amp;ROW(B158)-ROW($B$156)&amp;"][TypeOfIssue]",Submission!$O:$O,Submission!$H:$N,""))</f>
        <v>Non-compliance with Delegated Regulation 2019/331 and Implementing Regulation 2019/1842</v>
      </c>
      <c r="F158" s="106" t="str">
        <f>_xlfn.CONCAT(_xlfn.XLOOKUP("[S08_ActivityDataIssuesDetail]["&amp;ROW(B158)-ROW($B$156)&amp;"][NumberOfInstallations]",Submission!$O:$O,Submission!$H:$N,""))</f>
        <v>30</v>
      </c>
      <c r="G158" s="106" t="str">
        <f>_xlfn.CONCAT(_xlfn.XLOOKUP("[S08_ActivityDataIssuesDetail]["&amp;ROW(B158)-ROW($B$156)&amp;"][NumberOfIssues]",Submission!$O:$O,Submission!$H:$N,""))</f>
        <v>39</v>
      </c>
      <c r="H158" s="461" t="str">
        <f>_xlfn.CONCAT(_xlfn.XLOOKUP("[S08_ActivityDataIssuesDetail]["&amp;ROW(B158)-ROW($B$156)&amp;"][NumberOfInstallationsConEst]",Submission!$O:$O,Submission!$H:$N,""))</f>
        <v>0</v>
      </c>
      <c r="I158" s="462"/>
    </row>
    <row r="159" spans="1:9" ht="54" customHeight="1" x14ac:dyDescent="0.3">
      <c r="C159" s="258" t="str">
        <f>_xlfn.CONCAT(_xlfn.XLOOKUP("[S08_ActivityDataIssuesDetail]["&amp;ROW(B159)-ROW($B$156)&amp;"][AnnexIActivity]",Submission!$O:$O,Submission!$H:$N,""))</f>
        <v>20 - Combustion of fuels as specified in Annex I of Directive 2003/87/EC</v>
      </c>
      <c r="D159" s="260"/>
      <c r="E159" s="72" t="str">
        <f>_xlfn.CONCAT(_xlfn.XLOOKUP("[S08_ActivityDataIssuesDetail]["&amp;ROW(B159)-ROW($B$156)&amp;"][TypeOfIssue]",Submission!$O:$O,Submission!$H:$N,""))</f>
        <v>Non-conformities not leading to a negative verification opinion statement</v>
      </c>
      <c r="F159" s="106" t="str">
        <f>_xlfn.CONCAT(_xlfn.XLOOKUP("[S08_ActivityDataIssuesDetail]["&amp;ROW(B159)-ROW($B$156)&amp;"][NumberOfInstallations]",Submission!$O:$O,Submission!$H:$N,""))</f>
        <v>7</v>
      </c>
      <c r="G159" s="106" t="str">
        <f>_xlfn.CONCAT(_xlfn.XLOOKUP("[S08_ActivityDataIssuesDetail]["&amp;ROW(B159)-ROW($B$156)&amp;"][NumberOfIssues]",Submission!$O:$O,Submission!$H:$N,""))</f>
        <v>8</v>
      </c>
      <c r="H159" s="461" t="str">
        <f>_xlfn.CONCAT(_xlfn.XLOOKUP("[S08_ActivityDataIssuesDetail]["&amp;ROW(B159)-ROW($B$156)&amp;"][NumberOfInstallationsConEst]",Submission!$O:$O,Submission!$H:$N,""))</f>
        <v>0</v>
      </c>
      <c r="I159" s="462"/>
    </row>
    <row r="160" spans="1:9" ht="54" customHeight="1" x14ac:dyDescent="0.3">
      <c r="C160" s="258" t="str">
        <f>_xlfn.CONCAT(_xlfn.XLOOKUP("[S08_ActivityDataIssuesDetail]["&amp;ROW(B160)-ROW($B$156)&amp;"][AnnexIActivity]",Submission!$O:$O,Submission!$H:$N,""))</f>
        <v>20 - Combustion of fuels as specified in Annex I of Directive 2003/87/EC</v>
      </c>
      <c r="D160" s="260"/>
      <c r="E160" s="72" t="str">
        <f>_xlfn.CONCAT(_xlfn.XLOOKUP("[S08_ActivityDataIssuesDetail]["&amp;ROW(B160)-ROW($B$156)&amp;"][TypeOfIssue]",Submission!$O:$O,Submission!$H:$N,""))</f>
        <v>Recommendations for improvement</v>
      </c>
      <c r="F160" s="106" t="str">
        <f>_xlfn.CONCAT(_xlfn.XLOOKUP("[S08_ActivityDataIssuesDetail]["&amp;ROW(B160)-ROW($B$156)&amp;"][NumberOfInstallations]",Submission!$O:$O,Submission!$H:$N,""))</f>
        <v>33</v>
      </c>
      <c r="G160" s="106" t="str">
        <f>_xlfn.CONCAT(_xlfn.XLOOKUP("[S08_ActivityDataIssuesDetail]["&amp;ROW(B160)-ROW($B$156)&amp;"][NumberOfIssues]",Submission!$O:$O,Submission!$H:$N,""))</f>
        <v>44</v>
      </c>
      <c r="H160" s="461" t="str">
        <f>_xlfn.CONCAT(_xlfn.XLOOKUP("[S08_ActivityDataIssuesDetail]["&amp;ROW(B160)-ROW($B$156)&amp;"][NumberOfInstallationsConEst]",Submission!$O:$O,Submission!$H:$N,""))</f>
        <v>0</v>
      </c>
      <c r="I160" s="462"/>
    </row>
    <row r="161" spans="3:9" ht="54" customHeight="1" x14ac:dyDescent="0.3">
      <c r="C161" s="258" t="str">
        <f>_xlfn.CONCAT(_xlfn.XLOOKUP("[S08_ActivityDataIssuesDetail]["&amp;ROW(B161)-ROW($B$156)&amp;"][AnnexIActivity]",Submission!$O:$O,Submission!$H:$N,""))</f>
        <v>34 - Drying or calcination of gypsum or production of plaster boards and other gypsum products, as specified in Annex I of Directive 2003/87/EC</v>
      </c>
      <c r="D161" s="260"/>
      <c r="E161" s="72" t="str">
        <f>_xlfn.CONCAT(_xlfn.XLOOKUP("[S08_ActivityDataIssuesDetail]["&amp;ROW(B161)-ROW($B$156)&amp;"][TypeOfIssue]",Submission!$O:$O,Submission!$H:$N,""))</f>
        <v>Recommendations for improvement</v>
      </c>
      <c r="F161" s="106" t="str">
        <f>_xlfn.CONCAT(_xlfn.XLOOKUP("[S08_ActivityDataIssuesDetail]["&amp;ROW(B161)-ROW($B$156)&amp;"][NumberOfInstallations]",Submission!$O:$O,Submission!$H:$N,""))</f>
        <v>1</v>
      </c>
      <c r="G161" s="106" t="str">
        <f>_xlfn.CONCAT(_xlfn.XLOOKUP("[S08_ActivityDataIssuesDetail]["&amp;ROW(B161)-ROW($B$156)&amp;"][NumberOfIssues]",Submission!$O:$O,Submission!$H:$N,""))</f>
        <v>1</v>
      </c>
      <c r="H161" s="461" t="str">
        <f>_xlfn.CONCAT(_xlfn.XLOOKUP("[S08_ActivityDataIssuesDetail]["&amp;ROW(B161)-ROW($B$156)&amp;"][NumberOfInstallationsConEst]",Submission!$O:$O,Submission!$H:$N,""))</f>
        <v>0</v>
      </c>
      <c r="I161" s="462"/>
    </row>
    <row r="162" spans="3:9" ht="54" customHeight="1" x14ac:dyDescent="0.3">
      <c r="C162" s="258" t="str">
        <f>_xlfn.CONCAT(_xlfn.XLOOKUP("[S08_ActivityDataIssuesDetail]["&amp;ROW(B162)-ROW($B$156)&amp;"][AnnexIActivity]",Submission!$O:$O,Submission!$H:$N,""))</f>
        <v>32 - Manufacture of ceramic products as specified in Annex I of Directive 2003/87/EC</v>
      </c>
      <c r="D162" s="260"/>
      <c r="E162" s="72" t="str">
        <f>_xlfn.CONCAT(_xlfn.XLOOKUP("[S08_ActivityDataIssuesDetail]["&amp;ROW(B162)-ROW($B$156)&amp;"][TypeOfIssue]",Submission!$O:$O,Submission!$H:$N,""))</f>
        <v>Non-compliance with Delegated Regulation 2019/331 and Implementing Regulation 2019/1842</v>
      </c>
      <c r="F162" s="106" t="str">
        <f>_xlfn.CONCAT(_xlfn.XLOOKUP("[S08_ActivityDataIssuesDetail]["&amp;ROW(B162)-ROW($B$156)&amp;"][NumberOfInstallations]",Submission!$O:$O,Submission!$H:$N,""))</f>
        <v>2</v>
      </c>
      <c r="G162" s="106" t="str">
        <f>_xlfn.CONCAT(_xlfn.XLOOKUP("[S08_ActivityDataIssuesDetail]["&amp;ROW(B162)-ROW($B$156)&amp;"][NumberOfIssues]",Submission!$O:$O,Submission!$H:$N,""))</f>
        <v>3</v>
      </c>
      <c r="H162" s="461" t="str">
        <f>_xlfn.CONCAT(_xlfn.XLOOKUP("[S08_ActivityDataIssuesDetail]["&amp;ROW(B162)-ROW($B$156)&amp;"][NumberOfInstallationsConEst]",Submission!$O:$O,Submission!$H:$N,""))</f>
        <v>0</v>
      </c>
      <c r="I162" s="462"/>
    </row>
    <row r="163" spans="3:9" ht="54" customHeight="1" x14ac:dyDescent="0.3">
      <c r="C163" s="258" t="str">
        <f>_xlfn.CONCAT(_xlfn.XLOOKUP("[S08_ActivityDataIssuesDetail]["&amp;ROW(B163)-ROW($B$156)&amp;"][AnnexIActivity]",Submission!$O:$O,Submission!$H:$N,""))</f>
        <v>32 - Manufacture of ceramic products as specified in Annex I of Directive 2003/87/EC</v>
      </c>
      <c r="D163" s="260"/>
      <c r="E163" s="72" t="str">
        <f>_xlfn.CONCAT(_xlfn.XLOOKUP("[S08_ActivityDataIssuesDetail]["&amp;ROW(B163)-ROW($B$156)&amp;"][TypeOfIssue]",Submission!$O:$O,Submission!$H:$N,""))</f>
        <v>Non-conformities not leading to a negative verification opinion statement</v>
      </c>
      <c r="F163" s="106" t="str">
        <f>_xlfn.CONCAT(_xlfn.XLOOKUP("[S08_ActivityDataIssuesDetail]["&amp;ROW(B163)-ROW($B$156)&amp;"][NumberOfInstallations]",Submission!$O:$O,Submission!$H:$N,""))</f>
        <v>2</v>
      </c>
      <c r="G163" s="106" t="str">
        <f>_xlfn.CONCAT(_xlfn.XLOOKUP("[S08_ActivityDataIssuesDetail]["&amp;ROW(B163)-ROW($B$156)&amp;"][NumberOfIssues]",Submission!$O:$O,Submission!$H:$N,""))</f>
        <v>2</v>
      </c>
      <c r="H163" s="461" t="str">
        <f>_xlfn.CONCAT(_xlfn.XLOOKUP("[S08_ActivityDataIssuesDetail]["&amp;ROW(B163)-ROW($B$156)&amp;"][NumberOfInstallationsConEst]",Submission!$O:$O,Submission!$H:$N,""))</f>
        <v>0</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0</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0</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0</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0</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0</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0</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0</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0</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Yes</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0</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4</v>
      </c>
      <c r="G244" s="361"/>
      <c r="H244" s="351" t="str">
        <f>_xlfn.CONCAT(_xlfn.XLOOKUP("[S08_ActivityReportRejectedDetail][2][ReasonForRejection]",Submission!$O:$O,Submission!$H:$N,""))</f>
        <v>Returned with a comment to re-verify</v>
      </c>
      <c r="I244" s="361"/>
    </row>
    <row r="245" spans="1:9" s="58" customFormat="1" ht="48" customHeight="1" x14ac:dyDescent="0.3">
      <c r="A245" s="75"/>
      <c r="C245" s="249" t="s">
        <v>1210</v>
      </c>
      <c r="D245" s="272"/>
      <c r="E245" s="273"/>
      <c r="F245" s="258" t="str">
        <f>_xlfn.CONCAT(_xlfn.XLOOKUP("[S08_ActivityReportRejectedDetail][3][ActionsTaken]",Submission!$O:$O,Submission!$H:$N,""))</f>
        <v xml:space="preserve">Reverification. CA requested the operator to obtain a new verification report.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Information exchange according to AVR art. 73 - Complaints</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Yes</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No</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Yes</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0</v>
      </c>
      <c r="H9" s="465"/>
      <c r="I9" s="462"/>
    </row>
    <row r="10" spans="1:9" x14ac:dyDescent="0.3">
      <c r="C10" s="468" t="s">
        <v>1253</v>
      </c>
      <c r="D10" s="469"/>
      <c r="E10" s="469"/>
      <c r="F10" s="470"/>
      <c r="G10" s="461" t="str">
        <f>_xlfn.CONCAT(_xlfn.XLOOKUP("[S09_InstallationOperatorFeesPermits][2][FeesAmount]",Submission!$O:$O,Submission!$H:$N,""))</f>
        <v>0</v>
      </c>
      <c r="H10" s="465"/>
      <c r="I10" s="462"/>
    </row>
    <row r="11" spans="1:9" x14ac:dyDescent="0.3">
      <c r="C11" s="468" t="s">
        <v>1254</v>
      </c>
      <c r="D11" s="469"/>
      <c r="E11" s="469"/>
      <c r="F11" s="470"/>
      <c r="G11" s="461" t="str">
        <f>_xlfn.CONCAT(_xlfn.XLOOKUP("[S09_InstallationOperatorFeesPermits][3][FeesAmount]",Submission!$O:$O,Submission!$H:$N,""))</f>
        <v>0</v>
      </c>
      <c r="H11" s="465"/>
      <c r="I11" s="462"/>
    </row>
    <row r="12" spans="1:9" x14ac:dyDescent="0.3">
      <c r="C12" s="468" t="s">
        <v>1255</v>
      </c>
      <c r="D12" s="469"/>
      <c r="E12" s="469"/>
      <c r="F12" s="470"/>
      <c r="G12" s="461" t="str">
        <f>_xlfn.CONCAT(_xlfn.XLOOKUP("[S09_InstallationOperatorFeesPermits][4][FeesAmount]",Submission!$O:$O,Submission!$H:$N,""))</f>
        <v>0</v>
      </c>
      <c r="H12" s="465"/>
      <c r="I12" s="462"/>
    </row>
    <row r="13" spans="1:9" x14ac:dyDescent="0.3">
      <c r="C13" s="468" t="s">
        <v>1256</v>
      </c>
      <c r="D13" s="469"/>
      <c r="E13" s="469"/>
      <c r="F13" s="470"/>
      <c r="G13" s="461" t="str">
        <f>_xlfn.CONCAT(_xlfn.XLOOKUP("[S09_InstallationOperatorFeesPermits][5][FeesAmount]",Submission!$O:$O,Submission!$H:$N,""))</f>
        <v>0</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4854</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Yes</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0</v>
      </c>
      <c r="H34" s="465"/>
      <c r="I34" s="462"/>
    </row>
    <row r="35" spans="2:9" x14ac:dyDescent="0.3">
      <c r="C35" s="468" t="s">
        <v>1266</v>
      </c>
      <c r="D35" s="469"/>
      <c r="E35" s="469"/>
      <c r="F35" s="470"/>
      <c r="G35" s="461" t="str">
        <f>_xlfn.CONCAT(_xlfn.XLOOKUP("[S09_AircraftOperatorFeesMonitoringPlans][2][FeesAmount]",Submission!$O:$O,Submission!$H:$N,""))</f>
        <v>0</v>
      </c>
      <c r="H35" s="465"/>
      <c r="I35" s="462"/>
    </row>
    <row r="36" spans="2:9" x14ac:dyDescent="0.3">
      <c r="C36" s="468" t="s">
        <v>1267</v>
      </c>
      <c r="D36" s="469"/>
      <c r="E36" s="469"/>
      <c r="F36" s="470"/>
      <c r="G36" s="461" t="str">
        <f>_xlfn.CONCAT(_xlfn.XLOOKUP("[S09_AircraftOperatorFeesMonitoringPlans][3][FeesAmount]",Submission!$O:$O,Submission!$H:$N,""))</f>
        <v>0</v>
      </c>
      <c r="H36" s="465"/>
      <c r="I36" s="462"/>
    </row>
    <row r="37" spans="2:9" x14ac:dyDescent="0.3">
      <c r="C37" s="468" t="s">
        <v>1268</v>
      </c>
      <c r="D37" s="469"/>
      <c r="E37" s="469"/>
      <c r="F37" s="470"/>
      <c r="G37" s="461" t="str">
        <f>_xlfn.CONCAT(_xlfn.XLOOKUP("[S09_AircraftOperatorFeesMonitoringPlans][4][FeesAmount]",Submission!$O:$O,Submission!$H:$N,""))</f>
        <v>0</v>
      </c>
      <c r="H37" s="465"/>
      <c r="I37" s="462"/>
    </row>
    <row r="38" spans="2:9" x14ac:dyDescent="0.3">
      <c r="C38" s="468" t="s">
        <v>1269</v>
      </c>
      <c r="D38" s="469"/>
      <c r="E38" s="469"/>
      <c r="F38" s="470"/>
      <c r="G38" s="461" t="str">
        <f>_xlfn.CONCAT(_xlfn.XLOOKUP("[S09_AircraftOperatorFeesMonitoringPlans][5][FeesAmount]",Submission!$O:$O,Submission!$H:$N,""))</f>
        <v>0</v>
      </c>
      <c r="H38" s="465"/>
      <c r="I38" s="462"/>
    </row>
    <row r="39" spans="2:9" x14ac:dyDescent="0.3">
      <c r="C39" s="468" t="s">
        <v>1270</v>
      </c>
      <c r="D39" s="469"/>
      <c r="E39" s="469"/>
      <c r="F39" s="470"/>
      <c r="G39" s="461" t="str">
        <f>_xlfn.CONCAT(_xlfn.XLOOKUP("[S09_AircraftOperatorFeesMonitoringPlans][6][FeesAmount]",Submission!$O:$O,Submission!$H:$N,""))</f>
        <v>0</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4854</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
      </c>
      <c r="D60" s="460"/>
      <c r="E60" s="460"/>
      <c r="F60" s="256"/>
      <c r="G60" s="461" t="str">
        <f>_xlfn.CONCAT(_xlfn.XLOOKUP("[S09_RegistryAccountOneOffFees][1][OneOffFeeAmount]",Submission!$O:$O,Submission!$H:$N,""))</f>
        <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Maintain</v>
      </c>
      <c r="D74" s="460"/>
      <c r="E74" s="460"/>
      <c r="F74" s="256"/>
      <c r="G74" s="461" t="str">
        <f>_xlfn.CONCAT(_xlfn.XLOOKUP("[S09_RegistryAccountAnnualFees][1][AnnualFeeAmount]",Submission!$O:$O,Submission!$H:$N,""))</f>
        <v>699</v>
      </c>
      <c r="H74" s="465"/>
      <c r="I74" s="462"/>
    </row>
    <row r="75" spans="2:9" x14ac:dyDescent="0.3">
      <c r="C75" s="255" t="str">
        <f>_xlfn.CONCAT(_xlfn.XLOOKUP("[S09_RegistryAccountAnnualFees][2][AnnualFeeReason]",Submission!$O:$O,Submission!$H:$N,""))</f>
        <v>FeePerAllow</v>
      </c>
      <c r="D75" s="460"/>
      <c r="E75" s="460"/>
      <c r="F75" s="256"/>
      <c r="G75" s="461" t="str">
        <f>_xlfn.CONCAT(_xlfn.XLOOKUP("[S09_RegistryAccountAnnualFees][2][AnnualFeeAmount]",Submission!$O:$O,Submission!$H:$N,""))</f>
        <v>0.027</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One sitevisit was conducted as an observer with the NAB and verifier</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Not relevant</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Yes</v>
      </c>
      <c r="I9" s="72" t="str">
        <f>_xlfn.CONCAT(_xlfn.XLOOKUP("[S10_InstallationsComplianceMeasures][3][ComplianceMeasuresComment]",Submission!$O:$O,Submission!$H:$N,""))</f>
        <v>Reminders on deadlines and obligations.</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Yes</v>
      </c>
      <c r="I10" s="72" t="str">
        <f>_xlfn.CONCAT(_xlfn.XLOOKUP("[S10_InstallationsComplianceMeasures][4][ComplianceMeasuresComment]",Submission!$O:$O,Submission!$H:$N,""))</f>
        <v>Two installation did not repeatadly submit verified annual emissionsreports, one installations did not repeatadly surrender allowances.</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
      </c>
      <c r="F21" s="105" t="str">
        <f>_xlfn.CONCAT(_xlfn.XLOOKUP("[S10_InstallationsInfringementPenalties]["&amp;ROW(B21)-ROW($B$20)&amp;"][MaxFine]",Submission!$O:$O,Submission!$H:$N,""))</f>
        <v/>
      </c>
      <c r="G21" s="105" t="str">
        <f>_xlfn.CONCAT(_xlfn.XLOOKUP("[S10_InstallationsInfringementPenalties]["&amp;ROW(B21)-ROW($B$20)&amp;"][PrisonMin]",Submission!$O:$O,Submission!$H:$N,""))</f>
        <v>0</v>
      </c>
      <c r="H21" s="105" t="str">
        <f>_xlfn.CONCAT(_xlfn.XLOOKUP("[S10_InstallationsInfringementPenalties]["&amp;ROW(B21)-ROW($B$20)&amp;"][PrisonMax]",Submission!$O:$O,Submission!$H:$N,""))</f>
        <v>24</v>
      </c>
      <c r="I21" s="72" t="str">
        <f>_xlfn.CONCAT(_xlfn.XLOOKUP("[S10_InstallationsInfringementPenalties]["&amp;ROW(B21)-ROW($B$20)&amp;"][OtherPenalty]",Submission!$O:$O,Submission!$H:$N,""))</f>
        <v>Unless more severe punishment (fine and imprisonment) is incurred under other legislation. A fine will according to the danish law on CO2-allowances and normal legal rules and principles in the Danish Legal system be settled by court decisions.</v>
      </c>
    </row>
    <row r="22" spans="1:9" ht="33" customHeight="1" x14ac:dyDescent="0.3">
      <c r="A22" s="13"/>
      <c r="C22" s="249" t="s">
        <v>1288</v>
      </c>
      <c r="D22" s="250"/>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0</v>
      </c>
      <c r="H22" s="105" t="str">
        <f>_xlfn.CONCAT(_xlfn.XLOOKUP("[S10_InstallationsInfringementPenalties]["&amp;ROW(B22)-ROW($B$20)&amp;"][PrisonMax]",Submission!$O:$O,Submission!$H:$N,""))</f>
        <v>24</v>
      </c>
      <c r="I22" s="72" t="str">
        <f>_xlfn.CONCAT(_xlfn.XLOOKUP("[S10_InstallationsInfringementPenalties]["&amp;ROW(B22)-ROW($B$20)&amp;"][OtherPenalty]",Submission!$O:$O,Submission!$H:$N,""))</f>
        <v>see above</v>
      </c>
    </row>
    <row r="23" spans="1:9" ht="33" customHeight="1" x14ac:dyDescent="0.3">
      <c r="A23" s="13"/>
      <c r="C23" s="249" t="s">
        <v>1289</v>
      </c>
      <c r="D23" s="250"/>
      <c r="E23" s="105" t="str">
        <f>_xlfn.CONCAT(_xlfn.XLOOKUP("[S10_InstallationsInfringementPenalties]["&amp;ROW(B23)-ROW($B$20)&amp;"][MinFine]",Submission!$O:$O,Submission!$H:$N,""))</f>
        <v/>
      </c>
      <c r="F23" s="105" t="str">
        <f>_xlfn.CONCAT(_xlfn.XLOOKUP("[S10_InstallationsInfringementPenalties]["&amp;ROW(B23)-ROW($B$20)&amp;"][MaxFine]",Submission!$O:$O,Submission!$H:$N,""))</f>
        <v/>
      </c>
      <c r="G23" s="105" t="str">
        <f>_xlfn.CONCAT(_xlfn.XLOOKUP("[S10_InstallationsInfringementPenalties]["&amp;ROW(B23)-ROW($B$20)&amp;"][PrisonMin]",Submission!$O:$O,Submission!$H:$N,""))</f>
        <v>0</v>
      </c>
      <c r="H23" s="105" t="str">
        <f>_xlfn.CONCAT(_xlfn.XLOOKUP("[S10_InstallationsInfringementPenalties]["&amp;ROW(B23)-ROW($B$20)&amp;"][PrisonMax]",Submission!$O:$O,Submission!$H:$N,""))</f>
        <v>24</v>
      </c>
      <c r="I23" s="72" t="str">
        <f>_xlfn.CONCAT(_xlfn.XLOOKUP("[S10_InstallationsInfringementPenalties]["&amp;ROW(B23)-ROW($B$20)&amp;"][OtherPenalty]",Submission!$O:$O,Submission!$H:$N,""))</f>
        <v>see above</v>
      </c>
    </row>
    <row r="24" spans="1:9" ht="41.4" customHeight="1" x14ac:dyDescent="0.3">
      <c r="A24" s="13"/>
      <c r="C24" s="249" t="s">
        <v>1290</v>
      </c>
      <c r="D24" s="250"/>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0</v>
      </c>
      <c r="H24" s="105" t="str">
        <f>_xlfn.CONCAT(_xlfn.XLOOKUP("[S10_InstallationsInfringementPenalties]["&amp;ROW(B24)-ROW($B$20)&amp;"][PrisonMax]",Submission!$O:$O,Submission!$H:$N,""))</f>
        <v>24</v>
      </c>
      <c r="I24" s="72" t="str">
        <f>_xlfn.CONCAT(_xlfn.XLOOKUP("[S10_InstallationsInfringementPenalties]["&amp;ROW(B24)-ROW($B$20)&amp;"][OtherPenalty]",Submission!$O:$O,Submission!$H:$N,""))</f>
        <v>see above</v>
      </c>
    </row>
    <row r="25" spans="1:9" ht="33" customHeight="1" x14ac:dyDescent="0.3">
      <c r="C25" s="249" t="s">
        <v>1291</v>
      </c>
      <c r="D25" s="250"/>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0</v>
      </c>
      <c r="H25" s="105" t="str">
        <f>_xlfn.CONCAT(_xlfn.XLOOKUP("[S10_InstallationsInfringementPenalties]["&amp;ROW(B25)-ROW($B$20)&amp;"][PrisonMax]",Submission!$O:$O,Submission!$H:$N,""))</f>
        <v>24</v>
      </c>
      <c r="I25" s="72" t="str">
        <f>_xlfn.CONCAT(_xlfn.XLOOKUP("[S10_InstallationsInfringementPenalties]["&amp;ROW(B25)-ROW($B$20)&amp;"][OtherPenalty]",Submission!$O:$O,Submission!$H:$N,""))</f>
        <v>see above</v>
      </c>
    </row>
    <row r="26" spans="1:9" ht="41.4" customHeight="1" x14ac:dyDescent="0.3">
      <c r="C26" s="249" t="s">
        <v>1292</v>
      </c>
      <c r="D26" s="250"/>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0</v>
      </c>
      <c r="H26" s="105" t="str">
        <f>_xlfn.CONCAT(_xlfn.XLOOKUP("[S10_InstallationsInfringementPenalties]["&amp;ROW(B26)-ROW($B$20)&amp;"][PrisonMax]",Submission!$O:$O,Submission!$H:$N,""))</f>
        <v>24</v>
      </c>
      <c r="I26" s="72" t="str">
        <f>_xlfn.CONCAT(_xlfn.XLOOKUP("[S10_InstallationsInfringementPenalties]["&amp;ROW(B26)-ROW($B$20)&amp;"][OtherPenalty]",Submission!$O:$O,Submission!$H:$N,""))</f>
        <v>see above</v>
      </c>
    </row>
    <row r="27" spans="1:9" ht="41.4" customHeight="1" x14ac:dyDescent="0.3">
      <c r="C27" s="249" t="s">
        <v>1293</v>
      </c>
      <c r="D27" s="250"/>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0</v>
      </c>
      <c r="H27" s="105" t="str">
        <f>_xlfn.CONCAT(_xlfn.XLOOKUP("[S10_InstallationsInfringementPenalties]["&amp;ROW(B27)-ROW($B$20)&amp;"][PrisonMax]",Submission!$O:$O,Submission!$H:$N,""))</f>
        <v>24</v>
      </c>
      <c r="I27" s="72" t="str">
        <f>_xlfn.CONCAT(_xlfn.XLOOKUP("[S10_InstallationsInfringementPenalties]["&amp;ROW(B27)-ROW($B$20)&amp;"][OtherPenalty]",Submission!$O:$O,Submission!$H:$N,""))</f>
        <v>see above</v>
      </c>
    </row>
    <row r="28" spans="1:9" ht="33" customHeight="1" x14ac:dyDescent="0.3">
      <c r="C28" s="249" t="s">
        <v>1294</v>
      </c>
      <c r="D28" s="250"/>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0</v>
      </c>
      <c r="H28" s="105" t="str">
        <f>_xlfn.CONCAT(_xlfn.XLOOKUP("[S10_InstallationsInfringementPenalties]["&amp;ROW(B28)-ROW($B$20)&amp;"][PrisonMax]",Submission!$O:$O,Submission!$H:$N,""))</f>
        <v>24</v>
      </c>
      <c r="I28" s="72" t="str">
        <f>_xlfn.CONCAT(_xlfn.XLOOKUP("[S10_InstallationsInfringementPenalties]["&amp;ROW(B28)-ROW($B$20)&amp;"][OtherPenalty]",Submission!$O:$O,Submission!$H:$N,""))</f>
        <v>see above</v>
      </c>
    </row>
    <row r="29" spans="1:9" ht="33" customHeight="1" x14ac:dyDescent="0.3">
      <c r="C29" s="249" t="s">
        <v>1295</v>
      </c>
      <c r="D29" s="250"/>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0</v>
      </c>
      <c r="H29" s="105" t="str">
        <f>_xlfn.CONCAT(_xlfn.XLOOKUP("[S10_InstallationsInfringementPenalties]["&amp;ROW(B29)-ROW($B$20)&amp;"][PrisonMax]",Submission!$O:$O,Submission!$H:$N,""))</f>
        <v>24</v>
      </c>
      <c r="I29" s="72" t="str">
        <f>_xlfn.CONCAT(_xlfn.XLOOKUP("[S10_InstallationsInfringementPenalties]["&amp;ROW(B29)-ROW($B$20)&amp;"][OtherPenalty]",Submission!$O:$O,Submission!$H:$N,""))</f>
        <v>see above</v>
      </c>
    </row>
    <row r="30" spans="1:9" ht="33" customHeight="1" x14ac:dyDescent="0.3">
      <c r="C30" s="249" t="s">
        <v>1296</v>
      </c>
      <c r="D30" s="250"/>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0</v>
      </c>
      <c r="H30" s="105" t="str">
        <f>_xlfn.CONCAT(_xlfn.XLOOKUP("[S10_InstallationsInfringementPenalties]["&amp;ROW(B30)-ROW($B$20)&amp;"][PrisonMax]",Submission!$O:$O,Submission!$H:$N,""))</f>
        <v>24</v>
      </c>
      <c r="I30" s="72" t="str">
        <f>_xlfn.CONCAT(_xlfn.XLOOKUP("[S10_InstallationsInfringementPenalties]["&amp;ROW(B30)-ROW($B$20)&amp;"][OtherPenalty]",Submission!$O:$O,Submission!$H:$N,""))</f>
        <v>see above</v>
      </c>
    </row>
    <row r="31" spans="1:9" ht="33" customHeight="1" x14ac:dyDescent="0.3">
      <c r="C31" s="249" t="s">
        <v>1297</v>
      </c>
      <c r="D31" s="250"/>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0</v>
      </c>
      <c r="H31" s="105" t="str">
        <f>_xlfn.CONCAT(_xlfn.XLOOKUP("[S10_InstallationsInfringementPenalties]["&amp;ROW(B31)-ROW($B$20)&amp;"][PrisonMax]",Submission!$O:$O,Submission!$H:$N,""))</f>
        <v>24</v>
      </c>
      <c r="I31" s="72" t="str">
        <f>_xlfn.CONCAT(_xlfn.XLOOKUP("[S10_InstallationsInfringementPenalties]["&amp;ROW(B31)-ROW($B$20)&amp;"][OtherPenalty]",Submission!$O:$O,Submission!$H:$N,""))</f>
        <v>see above</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Law No 536 of 27 April 2022 and Ordinance No 2134 of 21 December 2020</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Failure to submit a verified emission report by 31 March or earlier if the competent authority set an earlier deadline</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Yes</v>
      </c>
      <c r="I66" s="89" t="str">
        <f>_xlfn.CONCAT(_xlfn.XLOOKUP("[S10_InstallationsPenaltiesImposed][1][PenaltyEnforcedWithinPeriod]",Submission!$O:$O,Submission!$H:$N,""))</f>
        <v>No</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Yes</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Failure to submit a verified emission report by 31 March and to surrender allowances.</v>
      </c>
      <c r="D93" s="460"/>
      <c r="E93" s="256"/>
      <c r="F93" s="255" t="str">
        <f>_xlfn.CONCAT(_xlfn.XLOOKUP("[S10_InstallationsPriorPenaltiesEnforcedDetail][1][TypePenalty]",Submission!$O:$O,Submission!$H:$N,""))</f>
        <v>Fines</v>
      </c>
      <c r="G93" s="256"/>
      <c r="H93" s="255" t="str">
        <f>_xlfn.CONCAT(_xlfn.XLOOKUP("[S10_InstallationsPriorPenaltiesEnforcedDetail][1][ReportinYear]",Submission!$O:$O,Submission!$H:$N,""))</f>
        <v>2020</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DK-401</v>
      </c>
      <c r="D115" s="353"/>
      <c r="E115" s="260"/>
      <c r="F115" s="258" t="str">
        <f>_xlfn.CONCAT(_xlfn.XLOOKUP("[S10_InstallationPenalties][1][OperatorName]",Submission!$O:$O,Submission!$H:$N,""))</f>
        <v>Regulerkraft Ikast Aps</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0</v>
      </c>
      <c r="H147" s="105" t="str">
        <f>_xlfn.CONCAT(_xlfn.XLOOKUP("[S10_AircraftInfringementPenalties][1][PrisonMax]",Submission!$O:$O,Submission!$H:$N,""))</f>
        <v>24</v>
      </c>
      <c r="I147" s="97" t="str">
        <f>_xlfn.CONCAT(_xlfn.XLOOKUP("[S10_AircraftInfringementPenalties][1][OtherPenalty]",Submission!$O:$O,Submission!$H:$N,""))</f>
        <v>Unless more severe punishment (fine and imprisonmment) is incurred under other legislation. A fine will according to the Danish law on CO2-Allowances and normal legal rules and principles in the Danish legal system be settled by court decision.</v>
      </c>
    </row>
    <row r="148" spans="1:9" ht="40.200000000000003" customHeight="1" x14ac:dyDescent="0.3">
      <c r="A148" s="13"/>
      <c r="C148" s="249" t="s">
        <v>1290</v>
      </c>
      <c r="D148" s="273"/>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0</v>
      </c>
      <c r="H148" s="105" t="str">
        <f>_xlfn.CONCAT(_xlfn.XLOOKUP("[S10_AircraftInfringementPenalties][2][PrisonMax]",Submission!$O:$O,Submission!$H:$N,""))</f>
        <v>24</v>
      </c>
      <c r="I148" s="97" t="str">
        <f>_xlfn.CONCAT(_xlfn.XLOOKUP("[S10_AircraftInfringementPenalties][2][OtherPenalty]",Submission!$O:$O,Submission!$H:$N,""))</f>
        <v>See above</v>
      </c>
    </row>
    <row r="149" spans="1:9" ht="40.200000000000003" customHeight="1" x14ac:dyDescent="0.3">
      <c r="A149" s="13"/>
      <c r="C149" s="249" t="s">
        <v>1312</v>
      </c>
      <c r="D149" s="273"/>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0</v>
      </c>
      <c r="H149" s="105" t="str">
        <f>_xlfn.CONCAT(_xlfn.XLOOKUP("[S10_AircraftInfringementPenalties][3][PrisonMax]",Submission!$O:$O,Submission!$H:$N,""))</f>
        <v>24</v>
      </c>
      <c r="I149" s="97" t="str">
        <f>_xlfn.CONCAT(_xlfn.XLOOKUP("[S10_AircraftInfringementPenalties][3][OtherPenalty]",Submission!$O:$O,Submission!$H:$N,""))</f>
        <v>See above</v>
      </c>
    </row>
    <row r="150" spans="1:9" ht="40.200000000000003" customHeight="1" x14ac:dyDescent="0.3">
      <c r="C150" s="249" t="s">
        <v>1293</v>
      </c>
      <c r="D150" s="273"/>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0</v>
      </c>
      <c r="H150" s="105" t="str">
        <f>_xlfn.CONCAT(_xlfn.XLOOKUP("[S10_AircraftInfringementPenalties][4][PrisonMax]",Submission!$O:$O,Submission!$H:$N,""))</f>
        <v>24</v>
      </c>
      <c r="I150" s="97" t="str">
        <f>_xlfn.CONCAT(_xlfn.XLOOKUP("[S10_AircraftInfringementPenalties][4][OtherPenalty]",Submission!$O:$O,Submission!$H:$N,""))</f>
        <v>See above</v>
      </c>
    </row>
    <row r="151" spans="1:9" ht="37.200000000000003" customHeight="1" x14ac:dyDescent="0.3">
      <c r="C151" s="249" t="s">
        <v>1313</v>
      </c>
      <c r="D151" s="273"/>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0</v>
      </c>
      <c r="H151" s="105" t="str">
        <f>_xlfn.CONCAT(_xlfn.XLOOKUP("[S10_AircraftInfringementPenalties][5][PrisonMax]",Submission!$O:$O,Submission!$H:$N,""))</f>
        <v>24</v>
      </c>
      <c r="I151" s="97" t="str">
        <f>_xlfn.CONCAT(_xlfn.XLOOKUP("[S10_AircraftInfringementPenalties][5][OtherPenalty]",Submission!$O:$O,Submission!$H:$N,""))</f>
        <v>See above</v>
      </c>
    </row>
    <row r="152" spans="1:9" ht="37.200000000000003" customHeight="1" x14ac:dyDescent="0.3">
      <c r="C152" s="249" t="s">
        <v>1294</v>
      </c>
      <c r="D152" s="273"/>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0</v>
      </c>
      <c r="H152" s="105" t="str">
        <f>_xlfn.CONCAT(_xlfn.XLOOKUP("[S10_AircraftInfringementPenalties][6][PrisonMax]",Submission!$O:$O,Submission!$H:$N,""))</f>
        <v>24</v>
      </c>
      <c r="I152" s="97" t="str">
        <f>_xlfn.CONCAT(_xlfn.XLOOKUP("[S10_AircraftInfringementPenalties][6][OtherPenalty]",Submission!$O:$O,Submission!$H:$N,""))</f>
        <v>See above</v>
      </c>
    </row>
    <row r="153" spans="1:9" ht="37.200000000000003" customHeight="1" x14ac:dyDescent="0.3">
      <c r="C153" s="249" t="s">
        <v>1295</v>
      </c>
      <c r="D153" s="273"/>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0</v>
      </c>
      <c r="H153" s="105" t="str">
        <f>_xlfn.CONCAT(_xlfn.XLOOKUP("[S10_AircraftInfringementPenalties][7][PrisonMax]",Submission!$O:$O,Submission!$H:$N,""))</f>
        <v>24</v>
      </c>
      <c r="I153" s="97" t="str">
        <f>_xlfn.CONCAT(_xlfn.XLOOKUP("[S10_AircraftInfringementPenalties][7][OtherPenalty]",Submission!$O:$O,Submission!$H:$N,""))</f>
        <v>See above</v>
      </c>
    </row>
    <row r="154" spans="1:9" ht="37.200000000000003" customHeight="1" x14ac:dyDescent="0.3">
      <c r="C154" s="249" t="s">
        <v>1296</v>
      </c>
      <c r="D154" s="273"/>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0</v>
      </c>
      <c r="H154" s="105" t="str">
        <f>_xlfn.CONCAT(_xlfn.XLOOKUP("[S10_AircraftInfringementPenalties][8][PrisonMax]",Submission!$O:$O,Submission!$H:$N,""))</f>
        <v>24</v>
      </c>
      <c r="I154" s="97" t="str">
        <f>_xlfn.CONCAT(_xlfn.XLOOKUP("[S10_AircraftInfringementPenalties][8][OtherPenalty]",Submission!$O:$O,Submission!$H:$N,""))</f>
        <v>See above</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0</v>
      </c>
      <c r="H155" s="105" t="str">
        <f>_xlfn.CONCAT(_xlfn.XLOOKUP("[S10_AircraftInfringementPenalties][9][PrisonMax]",Submission!$O:$O,Submission!$H:$N,""))</f>
        <v>24</v>
      </c>
      <c r="I155" s="97" t="str">
        <f>_xlfn.CONCAT(_xlfn.XLOOKUP("[S10_AircraftInfringementPenalties][9][OtherPenalty]",Submission!$O:$O,Submission!$H:$N,""))</f>
        <v>See above</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0</v>
      </c>
      <c r="H156" s="105" t="str">
        <f>_xlfn.CONCAT(_xlfn.XLOOKUP("[S10_AircraftInfringementPenalties][10][PrisonMax]",Submission!$O:$O,Submission!$H:$N,""))</f>
        <v>24</v>
      </c>
      <c r="I156" s="97" t="str">
        <f>_xlfn.CONCAT(_xlfn.XLOOKUP("[S10_AircraftInfringementPenalties][10][OtherPenalty]",Submission!$O:$O,Submission!$H:$N,""))</f>
        <v>See above</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0</v>
      </c>
      <c r="H157" s="105" t="str">
        <f>_xlfn.CONCAT(_xlfn.XLOOKUP("[S10_AircraftInfringementPenalties][11][PrisonMax]",Submission!$O:$O,Submission!$H:$N,""))</f>
        <v>24</v>
      </c>
      <c r="I157" s="97" t="str">
        <f>_xlfn.CONCAT(_xlfn.XLOOKUP("[S10_AircraftInfringementPenalties][11][OtherPenalty]",Submission!$O:$O,Submission!$H:$N,""))</f>
        <v>See above</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Law No 536 of 27 April 2022 and Ordinance No 2134 of 21 December 2020</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Failure to submit a verified emission report by 31 March or earlier if the competent authority set an earlier deadline</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No</v>
      </c>
      <c r="I171" s="98" t="str">
        <f>_xlfn.CONCAT(_xlfn.XLOOKUP("[S10_AircraftPenaltiesImposed][1][PenaltyEnforcedWithinPeriod]",Submission!$O:$O,Submission!$H:$N,""))</f>
        <v>No</v>
      </c>
    </row>
    <row r="172" spans="1:9" ht="39.6" customHeight="1" x14ac:dyDescent="0.3">
      <c r="A172" s="13"/>
      <c r="C172" s="258" t="str">
        <f>_xlfn.CONCAT(_xlfn.XLOOKUP("[S10_AircraftPenaltiesImposed][2][InfringementType]",Submission!$O:$O,Submission!$H:$N,""))</f>
        <v>Excess allowances not returned by the aircraft operator despite the return being requested by the competent authority</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Yes</v>
      </c>
      <c r="I172" s="98" t="str">
        <f>_xlfn.CONCAT(_xlfn.XLOOKUP("[S10_AircraftPenaltiesImposed][2][PenaltyEnforcedWithinPeriod]",Submission!$O:$O,Submission!$H:$N,""))</f>
        <v>No</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No</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The following steps would be taken before requesting an operating ban from the comission:
1. Enforcing directive 2003/87/EC.
2. Sending a formal warning to the aircraft operator.
3. Issuing of penalty fines.
4. Publishing the names of aircraft operators that are not in compliance with Regulation (EU) 2018/2066 by 19/12/2018
5. Contact to the danish traffic authorities with the purpose of having the AOC withdrawed from the operator.</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Please refer to 11.2 for the answer to this question</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Emission allowances are taxed after the rules of business assets. Businesses, which receive free emission allowances, are exempted from taxation of the value of the emission allowance. Emission allowances can be sold in the same way as other assets and the profit is taxable. Profit is calculated as the difference between the sales price and the purchase price. The purchase price for an allocated free emission allowance is set to zero. Businesses, which buy emission allowances, can deduct the acquisition cost at the calculation of the taxable income, when the allowance is used. The deduction is given for the tax year where the allowance or part of the allowance is used in the production. In case of profit or loss at the sale of an emission allowance, the profit is taxable income. Profit or loss is calculated as the difference between the sales price and the purchase price. The purchase price is estimated as the price paid when the emission allowance was bought.</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CorpIncTax</v>
      </c>
      <c r="D18" s="353"/>
      <c r="E18" s="353"/>
      <c r="F18" s="260"/>
      <c r="G18" s="258" t="str">
        <f>_xlfn.CONCAT(_xlfn.XLOOKUP("[S11_TypeOfTaxRatesApplied][1][TaxRateApplied]",Submission!$O:$O,Submission!$H:$N,""))</f>
        <v>22</v>
      </c>
      <c r="H18" s="353"/>
      <c r="I18" s="260"/>
    </row>
    <row r="19" spans="2:9" ht="15.9" customHeight="1" x14ac:dyDescent="0.3">
      <c r="C19" s="258" t="str">
        <f>_xlfn.CONCAT(_xlfn.XLOOKUP("[S11_TypeOfTaxRatesApplied][2][TypeOfTax]",Submission!$O:$O,Submission!$H:$N,""))</f>
        <v>VAT</v>
      </c>
      <c r="D19" s="353"/>
      <c r="E19" s="353"/>
      <c r="F19" s="260"/>
      <c r="G19" s="258" t="str">
        <f>_xlfn.CONCAT(_xlfn.XLOOKUP("[S11_TypeOfTaxRatesApplied][2][TaxRateApplied]",Submission!$O:$O,Submission!$H:$N,""))</f>
        <v>25</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No speciel arrangements has been imposed by the DEA, but if other operators, aircraft operators or third parties raise concerns over potentially fraudulent activity regarding the free allocation of allowances, the DEA will investigate the case.</v>
      </c>
      <c r="H7" s="353"/>
      <c r="I7" s="260"/>
    </row>
    <row r="8" spans="1:9" ht="45" customHeight="1" x14ac:dyDescent="0.3">
      <c r="C8" s="249" t="s">
        <v>1337</v>
      </c>
      <c r="D8" s="257"/>
      <c r="E8" s="257"/>
      <c r="F8" s="250"/>
      <c r="G8" s="258" t="str">
        <f>_xlfn.CONCAT(_xlfn.XLOOKUP("[S12_FraudFreeAllocationOfAllowances][2][DetailsOfProceduresInNationalLaw]",Submission!$O:$O,Submission!$H:$N,""))</f>
        <v>Yes</v>
      </c>
      <c r="H8" s="353"/>
      <c r="I8" s="260"/>
    </row>
    <row r="9" spans="1:9" ht="45" customHeight="1" x14ac:dyDescent="0.3">
      <c r="C9" s="249" t="s">
        <v>1338</v>
      </c>
      <c r="D9" s="257"/>
      <c r="E9" s="257"/>
      <c r="F9" s="250"/>
      <c r="G9" s="258" t="str">
        <f>_xlfn.CONCAT(_xlfn.XLOOKUP("[S12_FraudFreeAllocationOfAllowances][3][DetailsOfProceduresInNationalLaw]",Submission!$O:$O,Submission!$H:$N,""))</f>
        <v>The DEA and the National Administrator responsible for the union registry, are both responsible for the initiation of investigation procedures.</v>
      </c>
      <c r="H9" s="353"/>
      <c r="I9" s="260"/>
    </row>
    <row r="10" spans="1:9" ht="45" customHeight="1" x14ac:dyDescent="0.3">
      <c r="C10" s="249" t="s">
        <v>1339</v>
      </c>
      <c r="D10" s="257"/>
      <c r="E10" s="257"/>
      <c r="F10" s="250"/>
      <c r="G10" s="258" t="str">
        <f>_xlfn.CONCAT(_xlfn.XLOOKUP("[S12_FraudFreeAllocationOfAllowances][4][DetailsOfProceduresInNationalLaw]",Submission!$O:$O,Submission!$H:$N,""))</f>
        <v>Beside the ETS verification system, the DEA shall supervise compliance of operators and aircraft operators, cf. the Danish Act on CO2 Allowances, section 29. The DEA are carrying out control regarding the free allocation application and the yearly activity level regarding the free allocation.</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The allocation of free allowances in a given year is conditional upon the operator holding a valid emissions permit and permits required under other legislation, as well as on the correctness of the information notified by the operator of significance for the allocation, cf. the Danish Executive Order on CO2 Allowances, section 13 (1) - If the allocation of allowances is based on incorrect data or information, an adjustment of the allowance allocation may be carried out the following year, cf. the Danish Executive Order on CO2 Allowances, section 13 (2). - The DEA may decide that an operator who has been allocated allowances on the basis of incorrect data or information or if the conditions for this have otherwise not been met, shall return allowances corresponding to those incorrectly received, cf. the Danish Act on CO2 Allowances, section 19 (2). Offenders shall also be liable to a fine (unless more severe punishment fine and imprisonmment is incurred under other legislation) - omitting to notify matters of significance for the emissions permit and for the allocation of free allowances, cf. the Danish Excutive Order on CO2 Allowances, section 21 (1) no. 4 - failing to disclose information or provides incorrect or misleading information which is of significance for case processing by the authorities pursuant to the Act on CO2 Allowances, regulation issued pursuant to the Act or EU legislation pertaining to matters covered by the Act on CO2 Allowances, or which has an effect on the authorities decisions pursuant to the Act on CO2 Allowances, regulation issued pursuant to the Act or EU legislation pertaining to matters covered by the Act on CO2 Allowances, or which is of significance for fees management, cf. the Danish Act on CO2 Allowances, section 32 (1) no. 5, A fine will according to the Danish law on CO2-Allowances, Executive Orders pursuant to the Act and normal legal rules and principles in the Danish legal system be settled by court decision.</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A fine and imprisonmment will according to the Danish law on CO2-Allowances and normal legal rules and principles in the Danish legal system be settled by court decision. The maximum penalties is in imprisonment terms imprisonment up to 24 months, unless more severe punishment is incurred under other legislation, cf. section 32 of the Danish law on CO2-Allowances.</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 xml:space="preserve">The National Administrator conducts transactions analysis of all accounts. The frequency is based on a risk assessment. The tax authority has read only access to the registry, per law. If the NA suspects fraudulent activities, the NA (the Danish Business Authority) reports this to the Danish FIU, other relevant competent authorities, as well as the Danish Energy Agency. In that case the NA will provide the FIU information about the following: 1. Account holder and all account representatives 2. Account number of all involved accounts 3. Type of transaction(s) and 4. Number of units (emissions/credits) as well as any information required by the FIU. NA may suspend access to the account as permitted by the registry regulation, which may be extended at the request of the FIU. 
If the NA is informed about a court ruling or proceedings, which relates to an operator holding account or an aircraft operator holding account, the NA informs the competent authority and vice versa. 
Criminal cases would not be settled out of court.
As the NA is part of the Danish Business Authority, the NA has access to company information including suspicion of fraud and verdicts. Otherwise, criminal records shall be provided in the case of account representatives at least every five years.
</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See above</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See above</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See above</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Question 5.6</v>
      </c>
      <c r="E18" s="353" t="str">
        <f>_xlfn.CONCAT(_xlfn.XLOOKUP("[S13_AnyOtherIssues][12][OtherInformationOrIssues]",Submission!$O:$O,Submission!$H:$N,""))</f>
        <v>Total emissions include emissions from fossil and biomass fuels as well as proces emissions.</v>
      </c>
      <c r="F18" s="353"/>
      <c r="G18" s="353"/>
      <c r="H18" s="353"/>
      <c r="I18" s="260"/>
      <c r="K18" s="192"/>
    </row>
    <row r="19" spans="3:11" ht="27" customHeight="1" x14ac:dyDescent="0.3">
      <c r="C19" s="566"/>
      <c r="D19" s="161" t="str">
        <f>_xlfn.CONCAT(_xlfn.XLOOKUP("[S13_AnyOtherIssues][13][QuestionnaireSubQuestion]",Submission!$O:$O,Submission!$H:$N,""))</f>
        <v>Question 5.9</v>
      </c>
      <c r="E19" s="353" t="str">
        <f>_xlfn.CONCAT(_xlfn.XLOOKUP("[S13_AnyOtherIssues][13][OtherInformationOrIssues]",Submission!$O:$O,Submission!$H:$N,""))</f>
        <v>Not filled because of no ocurences</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Question 5.21</v>
      </c>
      <c r="E30" s="353" t="str">
        <f>_xlfn.CONCAT(_xlfn.XLOOKUP("[S13_AnyOtherIssues][24][OtherInformationOrIssues]",Submission!$O:$O,Submission!$H:$N,""))</f>
        <v>AO small emitters decided against using EUCTR SET this year due to significant overestimation of emissions(COVID &amp; less load) incurring higher costs compared to using method B and a formal verification</v>
      </c>
      <c r="F30" s="353"/>
      <c r="G30" s="353"/>
      <c r="H30" s="353"/>
      <c r="I30" s="260"/>
    </row>
    <row r="31" spans="3:11" ht="27" hidden="1" customHeight="1" outlineLevel="1" x14ac:dyDescent="0.3">
      <c r="C31" s="566"/>
      <c r="D31" s="161" t="str">
        <f>_xlfn.CONCAT(_xlfn.XLOOKUP("[S13_AnyOtherIssues][25][QuestionnaireSubQuestion]",Submission!$O:$O,Submission!$H:$N,""))</f>
        <v>Question 5.22</v>
      </c>
      <c r="E31" s="353" t="str">
        <f>_xlfn.CONCAT(_xlfn.XLOOKUP("[S13_AnyOtherIssues][25][OtherInformationOrIssues]",Submission!$O:$O,Submission!$H:$N,""))</f>
        <v>CA will kindly remind AOs if improvement reports are not forwarded before 30th June in acc. MRV Art.69 4.</v>
      </c>
      <c r="F31" s="353"/>
      <c r="G31" s="353"/>
      <c r="H31" s="353"/>
      <c r="I31" s="260"/>
    </row>
    <row r="32" spans="3:11" ht="27" hidden="1" customHeight="1" outlineLevel="1" x14ac:dyDescent="0.3">
      <c r="C32" s="566"/>
      <c r="D32" s="161" t="str">
        <f>_xlfn.CONCAT(_xlfn.XLOOKUP("[S13_AnyOtherIssues][26][QuestionnaireSubQuestion]",Submission!$O:$O,Submission!$H:$N,""))</f>
        <v>Question 5.22</v>
      </c>
      <c r="E32" s="353" t="str">
        <f>_xlfn.CONCAT(_xlfn.XLOOKUP("[S13_AnyOtherIssues][26][OtherInformationOrIssues]",Submission!$O:$O,Submission!$H:$N,""))</f>
        <v>Possible error in template, it is not possible to write 0 in the question "Number of aircraft operators that submitted an improvement report in practice".</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Question 6.12</v>
      </c>
      <c r="E41" s="353" t="str">
        <f>_xlfn.CONCAT(_xlfn.XLOOKUP("[S13_AnyOtherIssues][35][OtherInformationOrIssues]",Submission!$O:$O,Submission!$H:$N,""))</f>
        <v xml:space="preserve">6 Verifications where indeed performed virtually despite three specific CA warnings in this respect. Twice the verifier was informed and guided on the application of AVR art. 34 and its non-applicability in Denmark. Neither generic nor individual approval were given. The AVR workprogram indicated virtual site visits but, upon responce from CA, it was changed to only include visits performed as physically. Hence acc. AVR art. 73 a complaint has been forwarded by the CA to the NAB.  </v>
      </c>
      <c r="F41" s="353"/>
      <c r="G41" s="353"/>
      <c r="H41" s="353"/>
      <c r="I41" s="260"/>
    </row>
    <row r="42" spans="3:9" ht="27" customHeight="1" x14ac:dyDescent="0.3">
      <c r="C42" s="566"/>
      <c r="D42" s="161" t="str">
        <f>_xlfn.CONCAT(_xlfn.XLOOKUP("[S13_AnyOtherIssues][36][QuestionnaireSubQuestion]",Submission!$O:$O,Submission!$H:$N,""))</f>
        <v>Question 6.1</v>
      </c>
      <c r="E42" s="353" t="str">
        <f>_xlfn.CONCAT(_xlfn.XLOOKUP("[S13_AnyOtherIssues][36][OtherInformationOrIssues]",Submission!$O:$O,Submission!$H:$N,""))</f>
        <v>Error in template. It is not possible to use two letter code for member states. The template only allows numbers, therefore the answer is submitted here:
Verifier accredited by a national accreditation body in another Member State that carried out verification in our Member State - member state of accreditation for installations: SWE.
Verifier accredited by a national accreditation body in another Member State that carried out verification in our Member State - member state of accreditation for installations: FR.</v>
      </c>
      <c r="F42" s="353"/>
      <c r="G42" s="353"/>
      <c r="H42" s="353"/>
      <c r="I42" s="260"/>
    </row>
    <row r="43" spans="3:9" ht="27" hidden="1" customHeight="1" outlineLevel="1" x14ac:dyDescent="0.3">
      <c r="C43" s="566"/>
      <c r="D43" s="161" t="str">
        <f>_xlfn.CONCAT(_xlfn.XLOOKUP("[S13_AnyOtherIssues][37][QuestionnaireSubQuestion]",Submission!$O:$O,Submission!$H:$N,""))</f>
        <v>Question 6.9</v>
      </c>
      <c r="E43" s="353" t="str">
        <f>_xlfn.CONCAT(_xlfn.XLOOKUP("[S13_AnyOtherIssues][37][OtherInformationOrIssues]",Submission!$O:$O,Submission!$H:$N,""))</f>
        <v>Questions regarding tonne-kilometer reports not filled because of no ocurences.</v>
      </c>
      <c r="F43" s="353"/>
      <c r="G43" s="353"/>
      <c r="H43" s="353"/>
      <c r="I43" s="260"/>
    </row>
    <row r="44" spans="3:9" ht="27" hidden="1" customHeight="1" outlineLevel="1" x14ac:dyDescent="0.3">
      <c r="C44" s="566"/>
      <c r="D44" s="161" t="str">
        <f>_xlfn.CONCAT(_xlfn.XLOOKUP("[S13_AnyOtherIssues][38][QuestionnaireSubQuestion]",Submission!$O:$O,Submission!$H:$N,""))</f>
        <v>Question 6.10</v>
      </c>
      <c r="E44" s="353" t="str">
        <f>_xlfn.CONCAT(_xlfn.XLOOKUP("[S13_AnyOtherIssues][38][OtherInformationOrIssues]",Submission!$O:$O,Submission!$H:$N,""))</f>
        <v>Questions regarding tonne-kilometer reports not filled because of no ocurences.</v>
      </c>
      <c r="F44" s="353"/>
      <c r="G44" s="353"/>
      <c r="H44" s="353"/>
      <c r="I44" s="260"/>
    </row>
    <row r="45" spans="3:9" ht="27" hidden="1" customHeight="1" outlineLevel="1" x14ac:dyDescent="0.3">
      <c r="C45" s="566"/>
      <c r="D45" s="161" t="str">
        <f>_xlfn.CONCAT(_xlfn.XLOOKUP("[S13_AnyOtherIssues][39][QuestionnaireSubQuestion]",Submission!$O:$O,Submission!$H:$N,""))</f>
        <v>Question 6.2</v>
      </c>
      <c r="E45" s="353" t="str">
        <f>_xlfn.CONCAT(_xlfn.XLOOKUP("[S13_AnyOtherIssues][39][OtherInformationOrIssues]",Submission!$O:$O,Submission!$H:$N,""))</f>
        <v>"Number of outstanding non-conformities for verifiers reported in the information exchange and the number that have been resolved": Last years article 21 report incorrectly stated 6 non-conformaties.</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Question 7.1</v>
      </c>
      <c r="E53" s="353" t="str">
        <f>_xlfn.CONCAT(_xlfn.XLOOKUP("[S13_AnyOtherIssues][47][OtherInformationOrIssues]",Submission!$O:$O,Submission!$H:$N,""))</f>
        <v>Name off file attached: Executive_order_no._1637_of_november_18_2020_on_the_union_registry_and_the_danish_kyoto_registry.pdf</v>
      </c>
      <c r="F53" s="353"/>
      <c r="G53" s="353"/>
      <c r="H53" s="353"/>
      <c r="I53" s="260"/>
    </row>
    <row r="54" spans="3:9" ht="27" customHeight="1" x14ac:dyDescent="0.3">
      <c r="C54" s="566"/>
      <c r="D54" s="161" t="str">
        <f>_xlfn.CONCAT(_xlfn.XLOOKUP("[S13_AnyOtherIssues][48][QuestionnaireSubQuestion]",Submission!$O:$O,Submission!$H:$N,""))</f>
        <v>Question 7.2</v>
      </c>
      <c r="E54" s="353" t="str">
        <f>_xlfn.CONCAT(_xlfn.XLOOKUP("[S13_AnyOtherIssues][48][OtherInformationOrIssues]",Submission!$O:$O,Submission!$H:$N,""))</f>
        <v>No ocurrences</v>
      </c>
      <c r="F54" s="353"/>
      <c r="G54" s="353"/>
      <c r="H54" s="353"/>
      <c r="I54" s="260"/>
    </row>
    <row r="55" spans="3:9" ht="27" hidden="1" customHeight="1" outlineLevel="1" x14ac:dyDescent="0.3">
      <c r="C55" s="567"/>
      <c r="D55" s="161" t="str">
        <f>_xlfn.CONCAT(_xlfn.XLOOKUP("[S13_AnyOtherIssues][49][QuestionnaireSubQuestion]",Submission!$O:$O,Submission!$H:$N,""))</f>
        <v>Question 7.3</v>
      </c>
      <c r="E55" s="353" t="str">
        <f>_xlfn.CONCAT(_xlfn.XLOOKUP("[S13_AnyOtherIssues][49][OtherInformationOrIssues]",Submission!$O:$O,Submission!$H:$N,""))</f>
        <v>Not applicable, no cases</v>
      </c>
      <c r="F55" s="353"/>
      <c r="G55" s="353"/>
      <c r="H55" s="353"/>
      <c r="I55" s="260"/>
    </row>
    <row r="56" spans="3:9" ht="27" customHeight="1" collapsed="1" x14ac:dyDescent="0.3">
      <c r="C56" s="565" t="s">
        <v>1372</v>
      </c>
      <c r="D56" s="161" t="str">
        <f>_xlfn.CONCAT(_xlfn.XLOOKUP("[S13_AnyOtherIssues][50][QuestionnaireSubQuestion]",Submission!$O:$O,Submission!$H:$N,""))</f>
        <v>Question 8.15</v>
      </c>
      <c r="E56" s="353" t="str">
        <f>_xlfn.CONCAT(_xlfn.XLOOKUP("[S13_AnyOtherIssues][50][OtherInformationOrIssues]",Submission!$O:$O,Submission!$H:$N,""))</f>
        <v>Most issued verifications reports only referred to art. 31 and 32 with no further information on subparagraphs/points included in the verification reports. We will communicate the need to include specifics in this regard to verifiers and ensure that future verifications include these specificationss. We note a total of 55 installation for which the verifier waived the site visits.</v>
      </c>
      <c r="F56" s="353"/>
      <c r="G56" s="353"/>
      <c r="H56" s="353"/>
      <c r="I56" s="260"/>
    </row>
    <row r="57" spans="3:9" ht="27" customHeight="1" x14ac:dyDescent="0.3">
      <c r="C57" s="566"/>
      <c r="D57" s="161" t="str">
        <f>_xlfn.CONCAT(_xlfn.XLOOKUP("[S13_AnyOtherIssues][51][QuestionnaireSubQuestion]",Submission!$O:$O,Submission!$H:$N,""))</f>
        <v>Question 8.17</v>
      </c>
      <c r="E57" s="353" t="str">
        <f>_xlfn.CONCAT(_xlfn.XLOOKUP("[S13_AnyOtherIssues][51][OtherInformationOrIssues]",Submission!$O:$O,Submission!$H:$N,""))</f>
        <v xml:space="preserve">We have not yet imposed sanctions after these regulations. ALC and MMP obligations entered into force since jan 1'st 2021, therefore operators who failed to submit the relevant reports did not recieve allowences.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Question 9.1</v>
      </c>
      <c r="E74" s="353" t="str">
        <f>_xlfn.CONCAT(_xlfn.XLOOKUP("[S13_AnyOtherIssues][68][OtherInformationOrIssues]",Submission!$O:$O,Submission!$H:$N,""))</f>
        <v xml:space="preserve">Annual fees are differentiated as follows: Installations who are recieving free allowances in category C: 14139 € (106043 DKK), B: 11040 € (82801 DKK), A: 7941 (59559 DKK), low emissions: 4842 (36316 DKK), installations that are not recieving free allowances: Installations in category C: 11912 € (89.338 DKK), B: 9151 € (68638 DKK), A: 6392 (47937 DKK), low emissions: 3632 (27237 DKK). Average fee charged 4.854 (36.408). This also applies to Q9.2. </v>
      </c>
      <c r="F74" s="353"/>
      <c r="G74" s="353"/>
      <c r="H74" s="353"/>
      <c r="I74" s="260"/>
    </row>
    <row r="75" spans="3:9" ht="27" customHeight="1" x14ac:dyDescent="0.3">
      <c r="C75" s="566"/>
      <c r="D75" s="161" t="str">
        <f>_xlfn.CONCAT(_xlfn.XLOOKUP("[S13_AnyOtherIssues][69][QuestionnaireSubQuestion]",Submission!$O:$O,Submission!$H:$N,""))</f>
        <v>Question 9.3</v>
      </c>
      <c r="E75" s="353" t="str">
        <f>_xlfn.CONCAT(_xlfn.XLOOKUP("[S13_AnyOtherIssues][69][OtherInformationOrIssues]",Submission!$O:$O,Submission!$H:$N,""))</f>
        <v>Account fees established in Executive Order no. 1637 of 18 November 2020 12. The annual fee for having an account with the EU's ETS Registry is as follows: 1) DKK 5,250 for an operator holding account and DKK 0.20 per allocated free allowances. 2) DKK 5,250 for an aircraft operator holding account and DKK 0.20 per allocated free allowances. 3) DKK 3,600 for a verifier account. 4) DKK 5,250 for a trading account. 5) DKK 5,250 for a personal holding account. 6) DKK 2,910 for an auction delivery account. 7) DKK 13,950 for an external trading platform account. (2). The annual fee for having a personal holding account in The Danish Kyoto Registry is DKK 5,250. (3). The annual fee for keeping CO2 allowances or Kyoto units in a national holding account, cf. the regulation, Article 32 (1), is DKK 30,000. The fee is chargeable to the previous account holder. (4). The Danish Business Authority charges the fees once annually in the middle of the year. The fee is charged for the current calendar year for the accounts that are open and active on 1 July in that respective year, and they are charged regardless of whether the account is open for the full calendar year. 13. When setting up an account indicated in Section 12(1) point 3-7 and subsection (2) and (3), the Danish Business Authority charges a fee corresponding to the annual fee for the respective account type. The payment of the fee is a prerequisite for creating an account. The fee applies to the creation of the account as well as for the remaining part of this calendar year. (2). If a notification of account creation does not lead to the creation of an account, a fee shall not be paid. 14. Fees in accordance with Sections 12 and 13, as well as payment in accordance with Section 19(4), shall be due for payment by the date specified by the Danish Business Authority. (2). Payment of fees must take place using the collection method issued by Danish Business Authority. The Authority can reject other forms of payment, e.g. payment by cheque or cash. (3). In case of late payment, a reminder fee of DKK 100 will be charged to cover the costs of the Danish Business Authority in connection with the reminder procedure. If the account fee or the costs plus the reminder fee are still not paid, the fee or the costs will be sent to debt collection and the Danish Business Authority may close or suspend access to the account.</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Question 10.3</v>
      </c>
      <c r="E77" s="353" t="str">
        <f>_xlfn.CONCAT(_xlfn.XLOOKUP("[S13_AnyOtherIssues][71][OtherInformationOrIssues]",Submission!$O:$O,Submission!$H:$N,""))</f>
        <v xml:space="preserve">The operator has appealed the court decision. The appeal-proceedings are expected to be finalisied during 2023. </v>
      </c>
      <c r="F77" s="353"/>
      <c r="G77" s="353"/>
      <c r="H77" s="353"/>
      <c r="I77" s="260"/>
    </row>
    <row r="78" spans="3:9" ht="27" customHeight="1" x14ac:dyDescent="0.3">
      <c r="C78" s="566"/>
      <c r="D78" s="161" t="str">
        <f>_xlfn.CONCAT(_xlfn.XLOOKUP("[S13_AnyOtherIssues][72][QuestionnaireSubQuestion]",Submission!$O:$O,Submission!$H:$N,""))</f>
        <v>Question 10.7</v>
      </c>
      <c r="E78" s="353" t="str">
        <f>_xlfn.CONCAT(_xlfn.XLOOKUP("[S13_AnyOtherIssues][72][OtherInformationOrIssues]",Submission!$O:$O,Submission!$H:$N,""))</f>
        <v>The aircraft operator went bankrupt during the reporting year. The estate admistrator was notified on obligations but due to lack of knowledge, didn't meet the reporting deadline. Due to national bankrupcy law, we are not imposing any penalties to the bankrupcy estate.</v>
      </c>
      <c r="F78" s="353"/>
      <c r="G78" s="353"/>
      <c r="H78" s="353"/>
      <c r="I78" s="260"/>
    </row>
    <row r="79" spans="3:9" ht="27" hidden="1" customHeight="1" outlineLevel="1" x14ac:dyDescent="0.3">
      <c r="C79" s="566"/>
      <c r="D79" s="161" t="str">
        <f>_xlfn.CONCAT(_xlfn.XLOOKUP("[S13_AnyOtherIssues][73][QuestionnaireSubQuestion]",Submission!$O:$O,Submission!$H:$N,""))</f>
        <v>Question 10.8</v>
      </c>
      <c r="E79" s="353" t="str">
        <f>_xlfn.CONCAT(_xlfn.XLOOKUP("[S13_AnyOtherIssues][73][OtherInformationOrIssues]",Submission!$O:$O,Submission!$H:$N,""))</f>
        <v>Not filled because of no ocurences</v>
      </c>
      <c r="F79" s="353"/>
      <c r="G79" s="353"/>
      <c r="H79" s="353"/>
      <c r="I79" s="260"/>
    </row>
    <row r="80" spans="3:9" ht="27" hidden="1" customHeight="1" outlineLevel="1" x14ac:dyDescent="0.3">
      <c r="C80" s="566"/>
      <c r="D80" s="161" t="str">
        <f>_xlfn.CONCAT(_xlfn.XLOOKUP("[S13_AnyOtherIssues][74][QuestionnaireSubQuestion]",Submission!$O:$O,Submission!$H:$N,""))</f>
        <v>Question 10.9</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DEA (ENS)</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Danish Energy Agency, Centre for Energy Administration</v>
      </c>
    </row>
    <row r="3" spans="1:21" x14ac:dyDescent="0.3">
      <c r="A3" t="s">
        <v>1738</v>
      </c>
      <c r="B3" t="s">
        <v>1739</v>
      </c>
      <c r="C3">
        <v>0</v>
      </c>
      <c r="D3" t="s">
        <v>1447</v>
      </c>
      <c r="E3" t="s">
        <v>1742</v>
      </c>
      <c r="F3" t="s">
        <v>1741</v>
      </c>
      <c r="G3" t="str">
        <f>IF(ISBLANK('Q 1'!E6),"",IF('Q 1'!E6="&lt;please select&gt;","",'Q 1'!E6))</f>
        <v>Lukas Matz Jensen</v>
      </c>
    </row>
    <row r="4" spans="1:21" x14ac:dyDescent="0.3">
      <c r="A4" t="s">
        <v>1738</v>
      </c>
      <c r="B4" t="s">
        <v>1739</v>
      </c>
      <c r="C4">
        <v>0</v>
      </c>
      <c r="D4" t="s">
        <v>1447</v>
      </c>
      <c r="E4" t="s">
        <v>1743</v>
      </c>
      <c r="F4" t="s">
        <v>1741</v>
      </c>
      <c r="G4" t="str">
        <f>IF(ISBLANK('Q 1'!E7),"",IF('Q 1'!E7="&lt;please select&gt;","",'Q 1'!E7))</f>
        <v>Advisor</v>
      </c>
    </row>
    <row r="5" spans="1:21" x14ac:dyDescent="0.3">
      <c r="A5" t="s">
        <v>1738</v>
      </c>
      <c r="B5" t="s">
        <v>1739</v>
      </c>
      <c r="C5">
        <v>0</v>
      </c>
      <c r="D5" t="s">
        <v>1447</v>
      </c>
      <c r="E5" t="s">
        <v>1744</v>
      </c>
      <c r="F5" t="s">
        <v>1741</v>
      </c>
      <c r="G5" t="str">
        <f>IF(ISBLANK('Q 1'!E8),"",IF('Q 1'!E8="&lt;please select&gt;","",'Q 1'!E8))</f>
        <v>Niels Bohrs Vej 8D, DK-6700 Esbjerg, Denmark</v>
      </c>
    </row>
    <row r="6" spans="1:21" x14ac:dyDescent="0.3">
      <c r="A6" t="s">
        <v>1738</v>
      </c>
      <c r="B6" t="s">
        <v>1739</v>
      </c>
      <c r="C6">
        <v>0</v>
      </c>
      <c r="D6" t="s">
        <v>1447</v>
      </c>
      <c r="E6" t="s">
        <v>1745</v>
      </c>
      <c r="F6" t="s">
        <v>1741</v>
      </c>
      <c r="G6" t="str">
        <f>IF(ISBLANK('Q 1'!E9),"",IF('Q 1'!E9="&lt;please select&gt;","",'Q 1'!E9))</f>
        <v>+45 33 95 09 11</v>
      </c>
    </row>
    <row r="7" spans="1:21" x14ac:dyDescent="0.3">
      <c r="A7" t="s">
        <v>1738</v>
      </c>
      <c r="B7" t="s">
        <v>1739</v>
      </c>
      <c r="C7">
        <v>0</v>
      </c>
      <c r="D7" t="s">
        <v>1447</v>
      </c>
      <c r="E7" t="s">
        <v>1746</v>
      </c>
      <c r="F7" t="s">
        <v>1741</v>
      </c>
      <c r="G7" t="str">
        <f>IF(ISBLANK('Q 1'!E10),"",IF('Q 1'!E10="&lt;please select&gt;","",'Q 1'!E10))</f>
        <v>lmzj@ens.dk</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Danish Energy Agency (Energistyrelsen)</v>
      </c>
    </row>
    <row r="10" spans="1:21" x14ac:dyDescent="0.3">
      <c r="A10" t="s">
        <v>1749</v>
      </c>
      <c r="B10" t="s">
        <v>1750</v>
      </c>
      <c r="C10">
        <v>2</v>
      </c>
      <c r="D10" t="s">
        <v>1447</v>
      </c>
      <c r="E10" t="s">
        <v>1751</v>
      </c>
      <c r="F10" t="s">
        <v>1741</v>
      </c>
      <c r="G10" t="str">
        <f>IF(ISBLANK('Q 2'!C8),"",IF('Q 2'!C8="&lt;please select&gt;","",'Q 2'!C8))</f>
        <v/>
      </c>
    </row>
    <row r="11" spans="1:21" x14ac:dyDescent="0.3">
      <c r="A11" t="s">
        <v>1749</v>
      </c>
      <c r="B11" t="s">
        <v>1750</v>
      </c>
      <c r="C11">
        <v>3</v>
      </c>
      <c r="D11" t="s">
        <v>1447</v>
      </c>
      <c r="E11" t="s">
        <v>1751</v>
      </c>
      <c r="F11" t="s">
        <v>1741</v>
      </c>
      <c r="G11" t="str">
        <f>IF(ISBLANK('Q 2'!C9),"",IF('Q 2'!C9="&lt;please select&gt;","",'Q 2'!C9))</f>
        <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DEA (ENS)</v>
      </c>
    </row>
    <row r="32" spans="1:7" x14ac:dyDescent="0.3">
      <c r="A32" t="s">
        <v>1749</v>
      </c>
      <c r="B32" t="s">
        <v>1750</v>
      </c>
      <c r="C32">
        <v>2</v>
      </c>
      <c r="D32" t="s">
        <v>1447</v>
      </c>
      <c r="E32" t="s">
        <v>1752</v>
      </c>
      <c r="F32" t="s">
        <v>1741</v>
      </c>
      <c r="G32" t="str">
        <f>IF(ISBLANK('Q 2'!D8),"",IF('Q 2'!D8="&lt;please select&gt;","",'Q 2'!D8))</f>
        <v/>
      </c>
    </row>
    <row r="33" spans="1:7" x14ac:dyDescent="0.3">
      <c r="A33" t="s">
        <v>1749</v>
      </c>
      <c r="B33" t="s">
        <v>1750</v>
      </c>
      <c r="C33">
        <v>3</v>
      </c>
      <c r="D33" t="s">
        <v>1447</v>
      </c>
      <c r="E33" t="s">
        <v>1752</v>
      </c>
      <c r="F33" t="s">
        <v>1741</v>
      </c>
      <c r="G33" t="str">
        <f>IF(ISBLANK('Q 2'!D9),"",IF('Q 2'!D9="&lt;please select&gt;","",'Q 2'!D9))</f>
        <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
      </c>
    </row>
    <row r="55" spans="1:7" x14ac:dyDescent="0.3">
      <c r="A55" t="s">
        <v>1749</v>
      </c>
      <c r="B55" t="s">
        <v>1750</v>
      </c>
      <c r="C55">
        <v>3</v>
      </c>
      <c r="D55" t="s">
        <v>1447</v>
      </c>
      <c r="E55" t="s">
        <v>1753</v>
      </c>
      <c r="F55" t="s">
        <v>1741</v>
      </c>
      <c r="G55" t="str">
        <f>IF(ISBLANK('Q 2'!E9),"",IF('Q 2'!E9="&lt;please select&gt;","",'Q 2'!E9))</f>
        <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+45 33 92 67 00</v>
      </c>
    </row>
    <row r="98" spans="1:7" x14ac:dyDescent="0.3">
      <c r="A98" t="s">
        <v>1749</v>
      </c>
      <c r="B98" t="s">
        <v>1750</v>
      </c>
      <c r="C98">
        <v>2</v>
      </c>
      <c r="D98" t="s">
        <v>1447</v>
      </c>
      <c r="E98" t="s">
        <v>1755</v>
      </c>
      <c r="F98" t="s">
        <v>1741</v>
      </c>
      <c r="G98" t="str">
        <f>IF(ISBLANK('Q 2'!G8),"",IF('Q 2'!G8="&lt;please select&gt;","",'Q 2'!G8))</f>
        <v/>
      </c>
    </row>
    <row r="99" spans="1:7" x14ac:dyDescent="0.3">
      <c r="A99" t="s">
        <v>1749</v>
      </c>
      <c r="B99" t="s">
        <v>1750</v>
      </c>
      <c r="C99">
        <v>3</v>
      </c>
      <c r="D99" t="s">
        <v>1447</v>
      </c>
      <c r="E99" t="s">
        <v>1755</v>
      </c>
      <c r="F99" t="s">
        <v>1741</v>
      </c>
      <c r="G99" t="str">
        <f>IF(ISBLANK('Q 2'!G9),"",IF('Q 2'!G9="&lt;please select&gt;","",'Q 2'!G9))</f>
        <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ens@ens.dk</v>
      </c>
    </row>
    <row r="120" spans="1:7" x14ac:dyDescent="0.3">
      <c r="A120" t="s">
        <v>1749</v>
      </c>
      <c r="B120" t="s">
        <v>1750</v>
      </c>
      <c r="C120">
        <v>2</v>
      </c>
      <c r="D120" t="s">
        <v>1447</v>
      </c>
      <c r="E120" t="s">
        <v>1756</v>
      </c>
      <c r="F120" t="s">
        <v>1741</v>
      </c>
      <c r="G120" t="str">
        <f>IF(ISBLANK('Q 2'!H8),"",IF('Q 2'!H8="&lt;please select&gt;","",'Q 2'!H8))</f>
        <v/>
      </c>
    </row>
    <row r="121" spans="1:7" x14ac:dyDescent="0.3">
      <c r="A121" t="s">
        <v>1749</v>
      </c>
      <c r="B121" t="s">
        <v>1750</v>
      </c>
      <c r="C121">
        <v>3</v>
      </c>
      <c r="D121" t="s">
        <v>1447</v>
      </c>
      <c r="E121" t="s">
        <v>1756</v>
      </c>
      <c r="F121" t="s">
        <v>1741</v>
      </c>
      <c r="G121" t="str">
        <f>IF(ISBLANK('Q 2'!H9),"",IF('Q 2'!H9="&lt;please select&gt;","",'Q 2'!H9))</f>
        <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www.ens.dk</v>
      </c>
    </row>
    <row r="142" spans="1:7" x14ac:dyDescent="0.3">
      <c r="A142" t="s">
        <v>1749</v>
      </c>
      <c r="B142" t="s">
        <v>1750</v>
      </c>
      <c r="C142">
        <v>2</v>
      </c>
      <c r="D142" t="s">
        <v>1447</v>
      </c>
      <c r="E142" t="s">
        <v>1757</v>
      </c>
      <c r="F142" t="s">
        <v>1741</v>
      </c>
      <c r="G142" t="str">
        <f>IF(ISBLANK('Q 2'!I8),"",IF('Q 2'!I8="&lt;please select&gt;","",'Q 2'!I8))</f>
        <v/>
      </c>
    </row>
    <row r="143" spans="1:7" x14ac:dyDescent="0.3">
      <c r="A143" t="s">
        <v>1749</v>
      </c>
      <c r="B143" t="s">
        <v>1750</v>
      </c>
      <c r="C143">
        <v>3</v>
      </c>
      <c r="D143" t="s">
        <v>1447</v>
      </c>
      <c r="E143" t="s">
        <v>1757</v>
      </c>
      <c r="F143" t="s">
        <v>1741</v>
      </c>
      <c r="G143" t="str">
        <f>IF(ISBLANK('Q 2'!I9),"",IF('Q 2'!I9="&lt;please select&gt;","",'Q 2'!I9))</f>
        <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The Danish Accreditation Fund (Den Danske Akkrediteringsfond)</v>
      </c>
    </row>
    <row r="165" spans="1:11" x14ac:dyDescent="0.3">
      <c r="A165" t="s">
        <v>1749</v>
      </c>
      <c r="B165" t="s">
        <v>1760</v>
      </c>
      <c r="C165">
        <v>1</v>
      </c>
      <c r="D165" t="s">
        <v>1447</v>
      </c>
      <c r="E165" t="s">
        <v>1762</v>
      </c>
      <c r="F165" t="s">
        <v>1741</v>
      </c>
      <c r="G165" t="str">
        <f>IF(ISBLANK('Q 2'!E39),"",IF('Q 2'!E39="&lt;please select&gt;","",'Q 2'!E39))</f>
        <v>DANAK</v>
      </c>
    </row>
    <row r="166" spans="1:11" x14ac:dyDescent="0.3">
      <c r="A166" t="s">
        <v>1749</v>
      </c>
      <c r="B166" t="s">
        <v>1760</v>
      </c>
      <c r="C166">
        <v>1</v>
      </c>
      <c r="D166" t="s">
        <v>1447</v>
      </c>
      <c r="E166" t="s">
        <v>1763</v>
      </c>
      <c r="F166" t="s">
        <v>1741</v>
      </c>
      <c r="G166" t="str">
        <f>IF(ISBLANK('Q 2'!F39),"",IF('Q 2'!F39="&lt;please select&gt;","",'Q 2'!F39))</f>
        <v>+45 77 33 95 00</v>
      </c>
    </row>
    <row r="167" spans="1:11" x14ac:dyDescent="0.3">
      <c r="A167" t="s">
        <v>1749</v>
      </c>
      <c r="B167" t="s">
        <v>1760</v>
      </c>
      <c r="C167">
        <v>1</v>
      </c>
      <c r="D167" t="s">
        <v>1447</v>
      </c>
      <c r="E167" t="s">
        <v>1764</v>
      </c>
      <c r="F167" t="s">
        <v>1741</v>
      </c>
      <c r="G167" t="str">
        <f>IF(ISBLANK('Q 2'!G39),"",IF('Q 2'!G39="&lt;please select&gt;","",'Q 2'!G39))</f>
        <v>danak@danak.dk</v>
      </c>
    </row>
    <row r="168" spans="1:11" x14ac:dyDescent="0.3">
      <c r="A168" t="s">
        <v>1749</v>
      </c>
      <c r="B168" t="s">
        <v>1760</v>
      </c>
      <c r="C168">
        <v>1</v>
      </c>
      <c r="D168" t="s">
        <v>1447</v>
      </c>
      <c r="E168" t="s">
        <v>1765</v>
      </c>
      <c r="F168" t="s">
        <v>1741</v>
      </c>
      <c r="G168" t="str">
        <f>IF(ISBLANK('Q 2'!H39),"",IF('Q 2'!H39="&lt;please select&gt;","",'Q 2'!H39))</f>
        <v>www.danak.dk</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Danish Business Authority, The EU ETS Registry (Erhvervsstyrelsen, CO2-kvoteregister)</v>
      </c>
    </row>
    <row r="176" spans="1:11" x14ac:dyDescent="0.3">
      <c r="A176" t="s">
        <v>1749</v>
      </c>
      <c r="B176" t="s">
        <v>1773</v>
      </c>
      <c r="C176">
        <v>1</v>
      </c>
      <c r="D176" t="s">
        <v>1447</v>
      </c>
      <c r="E176" t="s">
        <v>1775</v>
      </c>
      <c r="F176" t="s">
        <v>1741</v>
      </c>
      <c r="G176" t="str">
        <f>IF(ISBLANK('Q 2'!E49),"",IF('Q 2'!E49="&lt;please select&gt;","",'Q 2'!E49))</f>
        <v>DBA</v>
      </c>
    </row>
    <row r="177" spans="1:7" x14ac:dyDescent="0.3">
      <c r="A177" t="s">
        <v>1749</v>
      </c>
      <c r="B177" t="s">
        <v>1773</v>
      </c>
      <c r="C177">
        <v>1</v>
      </c>
      <c r="D177" t="s">
        <v>1447</v>
      </c>
      <c r="E177" t="s">
        <v>1776</v>
      </c>
      <c r="F177" t="s">
        <v>1741</v>
      </c>
      <c r="G177" t="str">
        <f>IF(ISBLANK('Q 2'!F49),"",IF('Q 2'!F49="&lt;please select&gt;","",'Q 2'!F49))</f>
        <v>+45 35 29 10 00</v>
      </c>
    </row>
    <row r="178" spans="1:7" x14ac:dyDescent="0.3">
      <c r="A178" t="s">
        <v>1749</v>
      </c>
      <c r="B178" t="s">
        <v>1773</v>
      </c>
      <c r="C178">
        <v>1</v>
      </c>
      <c r="D178" t="s">
        <v>1447</v>
      </c>
      <c r="E178" t="s">
        <v>1777</v>
      </c>
      <c r="F178" t="s">
        <v>1741</v>
      </c>
      <c r="G178" t="str">
        <f>IF(ISBLANK('Q 2'!G49),"",IF('Q 2'!G49="&lt;please select&gt;","",'Q 2'!G49))</f>
        <v>co2register@erst.dk</v>
      </c>
    </row>
    <row r="179" spans="1:7" x14ac:dyDescent="0.3">
      <c r="A179" t="s">
        <v>1749</v>
      </c>
      <c r="B179" t="s">
        <v>1773</v>
      </c>
      <c r="C179">
        <v>1</v>
      </c>
      <c r="D179" t="s">
        <v>1447</v>
      </c>
      <c r="E179" t="s">
        <v>1778</v>
      </c>
      <c r="F179" t="s">
        <v>1741</v>
      </c>
      <c r="G179" t="str">
        <f>IF(ISBLANK('Q 2'!H49),"",IF('Q 2'!H49="&lt;please select&gt;","",'Q 2'!H49))</f>
        <v>https://danishbusinessauthority.dk/eu-ets-registry-and-danish-kyoto-registry</v>
      </c>
    </row>
    <row r="180" spans="1:7" x14ac:dyDescent="0.3">
      <c r="A180" t="s">
        <v>1779</v>
      </c>
      <c r="B180" t="s">
        <v>1780</v>
      </c>
      <c r="C180">
        <v>1</v>
      </c>
      <c r="D180" t="s">
        <v>1447</v>
      </c>
      <c r="E180" t="s">
        <v>1781</v>
      </c>
      <c r="F180" t="s">
        <v>1741</v>
      </c>
      <c r="G180" t="str">
        <f>IF(ISBLANK('Q 2'!F54),"",IF('Q 2'!F54="&lt;please select&gt;","",'Q 2'!F54))</f>
        <v>DEA (ENS)</v>
      </c>
    </row>
    <row r="181" spans="1:7" x14ac:dyDescent="0.3">
      <c r="A181" t="s">
        <v>1779</v>
      </c>
      <c r="B181" t="s">
        <v>1780</v>
      </c>
      <c r="C181">
        <v>2</v>
      </c>
      <c r="D181" t="s">
        <v>1447</v>
      </c>
      <c r="E181" t="s">
        <v>1781</v>
      </c>
      <c r="F181" t="s">
        <v>1741</v>
      </c>
      <c r="G181" t="str">
        <f>IF(ISBLANK('Q 2'!F55),"",IF('Q 2'!F55="&lt;please select&gt;","",'Q 2'!F55))</f>
        <v>DEA (ENS)</v>
      </c>
    </row>
    <row r="182" spans="1:7" x14ac:dyDescent="0.3">
      <c r="A182" t="s">
        <v>1779</v>
      </c>
      <c r="B182" t="s">
        <v>1780</v>
      </c>
      <c r="C182">
        <v>3</v>
      </c>
      <c r="D182" t="s">
        <v>1447</v>
      </c>
      <c r="E182" t="s">
        <v>1781</v>
      </c>
      <c r="F182" t="s">
        <v>1741</v>
      </c>
      <c r="G182" t="str">
        <f>IF(ISBLANK('Q 2'!F56),"",IF('Q 2'!F56="&lt;please select&gt;","",'Q 2'!F56))</f>
        <v>DEA (ENS)</v>
      </c>
    </row>
    <row r="183" spans="1:7" x14ac:dyDescent="0.3">
      <c r="A183" t="s">
        <v>1779</v>
      </c>
      <c r="B183" t="s">
        <v>1780</v>
      </c>
      <c r="C183">
        <v>4</v>
      </c>
      <c r="D183" t="s">
        <v>1447</v>
      </c>
      <c r="E183" t="s">
        <v>1781</v>
      </c>
      <c r="F183" t="s">
        <v>1741</v>
      </c>
      <c r="G183" t="str">
        <f>IF(ISBLANK('Q 2'!F57),"",IF('Q 2'!F57="&lt;please select&gt;","",'Q 2'!F57))</f>
        <v>DEA (ENS)</v>
      </c>
    </row>
    <row r="184" spans="1:7" x14ac:dyDescent="0.3">
      <c r="A184" t="s">
        <v>1779</v>
      </c>
      <c r="B184" t="s">
        <v>1780</v>
      </c>
      <c r="C184">
        <v>6</v>
      </c>
      <c r="D184" t="s">
        <v>1447</v>
      </c>
      <c r="E184" t="s">
        <v>1781</v>
      </c>
      <c r="F184" t="s">
        <v>1741</v>
      </c>
      <c r="G184" t="str">
        <f>IF(ISBLANK('Q 2'!F59),"",IF('Q 2'!F59="&lt;please select&gt;","",'Q 2'!F59))</f>
        <v>DEA (ENS)</v>
      </c>
    </row>
    <row r="185" spans="1:7" x14ac:dyDescent="0.3">
      <c r="A185" t="s">
        <v>1779</v>
      </c>
      <c r="B185" t="s">
        <v>1780</v>
      </c>
      <c r="C185">
        <v>7</v>
      </c>
      <c r="D185" t="s">
        <v>1447</v>
      </c>
      <c r="E185" t="s">
        <v>1781</v>
      </c>
      <c r="F185" t="s">
        <v>1741</v>
      </c>
      <c r="G185" t="str">
        <f>IF(ISBLANK('Q 2'!F60),"",IF('Q 2'!F60="&lt;please select&gt;","",'Q 2'!F60))</f>
        <v>DEA (ENS)</v>
      </c>
    </row>
    <row r="186" spans="1:7" x14ac:dyDescent="0.3">
      <c r="A186" t="s">
        <v>1779</v>
      </c>
      <c r="B186" t="s">
        <v>1780</v>
      </c>
      <c r="C186">
        <v>8</v>
      </c>
      <c r="D186" t="s">
        <v>1447</v>
      </c>
      <c r="E186" t="s">
        <v>1781</v>
      </c>
      <c r="F186" t="s">
        <v>1741</v>
      </c>
      <c r="G186" t="str">
        <f>IF(ISBLANK('Q 2'!F61),"",IF('Q 2'!F61="&lt;please select&gt;","",'Q 2'!F61))</f>
        <v>DEA (ENS)</v>
      </c>
    </row>
    <row r="187" spans="1:7" x14ac:dyDescent="0.3">
      <c r="A187" t="s">
        <v>1779</v>
      </c>
      <c r="B187" t="s">
        <v>1780</v>
      </c>
      <c r="C187">
        <v>9</v>
      </c>
      <c r="D187" t="s">
        <v>1447</v>
      </c>
      <c r="E187" t="s">
        <v>1781</v>
      </c>
      <c r="F187" t="s">
        <v>1741</v>
      </c>
      <c r="G187" t="str">
        <f>IF(ISBLANK('Q 2'!F62),"",IF('Q 2'!F62="&lt;please select&gt;","",'Q 2'!F62))</f>
        <v>DEA (ENS)</v>
      </c>
    </row>
    <row r="188" spans="1:7" x14ac:dyDescent="0.3">
      <c r="A188" t="s">
        <v>1779</v>
      </c>
      <c r="B188" t="s">
        <v>1780</v>
      </c>
      <c r="C188">
        <v>10</v>
      </c>
      <c r="D188" t="s">
        <v>1447</v>
      </c>
      <c r="E188" t="s">
        <v>1781</v>
      </c>
      <c r="F188" t="s">
        <v>1741</v>
      </c>
      <c r="G188" t="str">
        <f>IF(ISBLANK('Q 2'!F63),"",IF('Q 2'!F63="&lt;please select&gt;","",'Q 2'!F63))</f>
        <v>DEA (ENS)</v>
      </c>
    </row>
    <row r="189" spans="1:7" x14ac:dyDescent="0.3">
      <c r="A189" t="s">
        <v>1779</v>
      </c>
      <c r="B189" t="s">
        <v>1780</v>
      </c>
      <c r="C189">
        <v>11</v>
      </c>
      <c r="D189" t="s">
        <v>1447</v>
      </c>
      <c r="E189" t="s">
        <v>1781</v>
      </c>
      <c r="F189" t="s">
        <v>1741</v>
      </c>
      <c r="G189" t="str">
        <f>IF(ISBLANK('Q 2'!F64),"",IF('Q 2'!F64="&lt;please select&gt;","",'Q 2'!F64))</f>
        <v>DEA (ENS)</v>
      </c>
    </row>
    <row r="190" spans="1:7" x14ac:dyDescent="0.3">
      <c r="A190" t="s">
        <v>1779</v>
      </c>
      <c r="B190" t="s">
        <v>1780</v>
      </c>
      <c r="C190">
        <v>12</v>
      </c>
      <c r="D190" t="s">
        <v>1447</v>
      </c>
      <c r="E190" t="s">
        <v>1781</v>
      </c>
      <c r="F190" t="s">
        <v>1741</v>
      </c>
      <c r="G190" t="str">
        <f>IF(ISBLANK('Q 2'!F65),"",IF('Q 2'!F65="&lt;please select&gt;","",'Q 2'!F65))</f>
        <v>DEA (ENS)</v>
      </c>
    </row>
    <row r="191" spans="1:7" x14ac:dyDescent="0.3">
      <c r="A191" t="s">
        <v>1779</v>
      </c>
      <c r="B191" t="s">
        <v>1780</v>
      </c>
      <c r="C191">
        <v>13</v>
      </c>
      <c r="D191" t="s">
        <v>1447</v>
      </c>
      <c r="E191" t="s">
        <v>1781</v>
      </c>
      <c r="F191" t="s">
        <v>1741</v>
      </c>
      <c r="G191" t="str">
        <f>IF(ISBLANK('Q 2'!F66),"",IF('Q 2'!F66="&lt;please select&gt;","",'Q 2'!F66))</f>
        <v>DEA (ENS)</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DEA (ENS)</v>
      </c>
    </row>
    <row r="197" spans="1:7" x14ac:dyDescent="0.3">
      <c r="A197" t="s">
        <v>1779</v>
      </c>
      <c r="B197" t="s">
        <v>1780</v>
      </c>
      <c r="C197">
        <v>6</v>
      </c>
      <c r="D197" t="s">
        <v>1447</v>
      </c>
      <c r="E197" t="s">
        <v>1782</v>
      </c>
      <c r="F197" t="s">
        <v>1741</v>
      </c>
      <c r="G197" t="str">
        <f>IF(ISBLANK('Q 2'!H59),"",IF('Q 2'!H59="&lt;please select&gt;","",'Q 2'!H59))</f>
        <v>DEA (ENS)</v>
      </c>
    </row>
    <row r="198" spans="1:7" x14ac:dyDescent="0.3">
      <c r="A198" t="s">
        <v>1779</v>
      </c>
      <c r="B198" t="s">
        <v>1780</v>
      </c>
      <c r="C198">
        <v>7</v>
      </c>
      <c r="D198" t="s">
        <v>1447</v>
      </c>
      <c r="E198" t="s">
        <v>1782</v>
      </c>
      <c r="F198" t="s">
        <v>1741</v>
      </c>
      <c r="G198" t="str">
        <f>IF(ISBLANK('Q 2'!H60),"",IF('Q 2'!H60="&lt;please select&gt;","",'Q 2'!H60))</f>
        <v>DEA (ENS)</v>
      </c>
    </row>
    <row r="199" spans="1:7" x14ac:dyDescent="0.3">
      <c r="A199" t="s">
        <v>1779</v>
      </c>
      <c r="B199" t="s">
        <v>1780</v>
      </c>
      <c r="C199">
        <v>8</v>
      </c>
      <c r="D199" t="s">
        <v>1447</v>
      </c>
      <c r="E199" t="s">
        <v>1782</v>
      </c>
      <c r="F199" t="s">
        <v>1741</v>
      </c>
      <c r="G199" t="str">
        <f>IF(ISBLANK('Q 2'!H61),"",IF('Q 2'!H61="&lt;please select&gt;","",'Q 2'!H61))</f>
        <v>DEA (ENS)</v>
      </c>
    </row>
    <row r="200" spans="1:7" x14ac:dyDescent="0.3">
      <c r="A200" t="s">
        <v>1779</v>
      </c>
      <c r="B200" t="s">
        <v>1780</v>
      </c>
      <c r="C200">
        <v>9</v>
      </c>
      <c r="D200" t="s">
        <v>1447</v>
      </c>
      <c r="E200" t="s">
        <v>1782</v>
      </c>
      <c r="F200" t="s">
        <v>1741</v>
      </c>
      <c r="G200" t="str">
        <f>IF(ISBLANK('Q 2'!H62),"",IF('Q 2'!H62="&lt;please select&gt;","",'Q 2'!H62))</f>
        <v>DEA (ENS)</v>
      </c>
    </row>
    <row r="201" spans="1:7" x14ac:dyDescent="0.3">
      <c r="A201" t="s">
        <v>1779</v>
      </c>
      <c r="B201" t="s">
        <v>1780</v>
      </c>
      <c r="C201">
        <v>10</v>
      </c>
      <c r="D201" t="s">
        <v>1447</v>
      </c>
      <c r="E201" t="s">
        <v>1782</v>
      </c>
      <c r="F201" t="s">
        <v>1741</v>
      </c>
      <c r="G201" t="str">
        <f>IF(ISBLANK('Q 2'!H63),"",IF('Q 2'!H63="&lt;please select&gt;","",'Q 2'!H63))</f>
        <v>DEA (ENS)</v>
      </c>
    </row>
    <row r="202" spans="1:7" x14ac:dyDescent="0.3">
      <c r="A202" t="s">
        <v>1779</v>
      </c>
      <c r="B202" t="s">
        <v>1780</v>
      </c>
      <c r="C202">
        <v>11</v>
      </c>
      <c r="D202" t="s">
        <v>1447</v>
      </c>
      <c r="E202" t="s">
        <v>1782</v>
      </c>
      <c r="F202" t="s">
        <v>1741</v>
      </c>
      <c r="G202" t="str">
        <f>IF(ISBLANK('Q 2'!H64),"",IF('Q 2'!H64="&lt;please select&gt;","",'Q 2'!H64))</f>
        <v>DEA (ENS)</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Danish Energy Agency (Energistyrelsen)</v>
      </c>
    </row>
    <row r="212" spans="1:11" x14ac:dyDescent="0.3">
      <c r="A212" t="s">
        <v>1784</v>
      </c>
      <c r="B212" t="s">
        <v>1785</v>
      </c>
      <c r="C212">
        <v>0</v>
      </c>
      <c r="D212" t="s">
        <v>1447</v>
      </c>
      <c r="E212" t="s">
        <v>1787</v>
      </c>
      <c r="F212" t="s">
        <v>1741</v>
      </c>
      <c r="G212" t="str">
        <f>IF(ISBLANK('Q 2'!$G$82),"",IF('Q 2'!$G$82="&lt;please select&gt;","",'Q 2'!$G$82))</f>
        <v>DEA (ENS)</v>
      </c>
    </row>
    <row r="213" spans="1:11" x14ac:dyDescent="0.3">
      <c r="A213" t="s">
        <v>1784</v>
      </c>
      <c r="B213" t="s">
        <v>1788</v>
      </c>
      <c r="C213">
        <v>1</v>
      </c>
      <c r="D213" t="s">
        <v>1447</v>
      </c>
      <c r="E213" t="s">
        <v>1789</v>
      </c>
      <c r="F213" t="s">
        <v>1759</v>
      </c>
      <c r="K213" t="str">
        <f>IF(ISBLANK('Q 2'!G86),"",IF('Q 2'!G86="&lt;please select&gt;","",'Q 2'!G86))</f>
        <v/>
      </c>
    </row>
    <row r="214" spans="1:11" x14ac:dyDescent="0.3">
      <c r="A214" t="s">
        <v>1784</v>
      </c>
      <c r="B214" t="s">
        <v>1788</v>
      </c>
      <c r="C214">
        <v>2</v>
      </c>
      <c r="D214" t="s">
        <v>1447</v>
      </c>
      <c r="E214" t="s">
        <v>1789</v>
      </c>
      <c r="F214" t="s">
        <v>1759</v>
      </c>
      <c r="K214" t="str">
        <f>IF(ISBLANK('Q 2'!G87),"",IF('Q 2'!G87="&lt;please select&gt;","",'Q 2'!G87))</f>
        <v/>
      </c>
    </row>
    <row r="215" spans="1:11" x14ac:dyDescent="0.3">
      <c r="A215" t="s">
        <v>1784</v>
      </c>
      <c r="B215" t="s">
        <v>1788</v>
      </c>
      <c r="C215">
        <v>3</v>
      </c>
      <c r="D215" t="s">
        <v>1447</v>
      </c>
      <c r="E215" t="s">
        <v>1789</v>
      </c>
      <c r="F215" t="s">
        <v>1759</v>
      </c>
      <c r="K215" t="str">
        <f>IF(ISBLANK('Q 2'!G88),"",IF('Q 2'!G88="&lt;please select&gt;","",'Q 2'!G88))</f>
        <v/>
      </c>
    </row>
    <row r="216" spans="1:11" x14ac:dyDescent="0.3">
      <c r="A216" t="s">
        <v>1784</v>
      </c>
      <c r="B216" t="s">
        <v>1788</v>
      </c>
      <c r="C216">
        <v>4</v>
      </c>
      <c r="D216" t="s">
        <v>1447</v>
      </c>
      <c r="E216" t="s">
        <v>1789</v>
      </c>
      <c r="F216" t="s">
        <v>1759</v>
      </c>
      <c r="K216" t="str">
        <f>IF(ISBLANK('Q 2'!G89),"",IF('Q 2'!G89="&lt;please select&gt;","",'Q 2'!G89))</f>
        <v/>
      </c>
    </row>
    <row r="217" spans="1:11" x14ac:dyDescent="0.3">
      <c r="A217" t="s">
        <v>1784</v>
      </c>
      <c r="B217" t="s">
        <v>1788</v>
      </c>
      <c r="C217">
        <v>5</v>
      </c>
      <c r="D217" t="s">
        <v>1447</v>
      </c>
      <c r="E217" t="s">
        <v>1789</v>
      </c>
      <c r="F217" t="s">
        <v>1759</v>
      </c>
      <c r="K217" t="str">
        <f>IF(ISBLANK('Q 2'!G90),"",IF('Q 2'!G90="&lt;please select&gt;","",'Q 2'!G90))</f>
        <v/>
      </c>
    </row>
    <row r="218" spans="1:11" x14ac:dyDescent="0.3">
      <c r="A218" t="s">
        <v>1784</v>
      </c>
      <c r="B218" t="s">
        <v>1788</v>
      </c>
      <c r="C218">
        <v>6</v>
      </c>
      <c r="D218" t="s">
        <v>1447</v>
      </c>
      <c r="E218" t="s">
        <v>1789</v>
      </c>
      <c r="F218" t="s">
        <v>1759</v>
      </c>
      <c r="K218" t="str">
        <f>IF(ISBLANK('Q 2'!G91),"",IF('Q 2'!G91="&lt;please select&gt;","",'Q 2'!G91))</f>
        <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Yes</v>
      </c>
    </row>
    <row r="234" spans="1:11" x14ac:dyDescent="0.3">
      <c r="A234" t="s">
        <v>1792</v>
      </c>
      <c r="B234" t="s">
        <v>1793</v>
      </c>
      <c r="C234">
        <v>2</v>
      </c>
      <c r="D234" t="s">
        <v>1447</v>
      </c>
      <c r="E234" t="s">
        <v>1794</v>
      </c>
      <c r="F234" t="s">
        <v>1759</v>
      </c>
      <c r="K234" t="str">
        <f>IF(ISBLANK('Q 2'!G101),"",IF('Q 2'!G101="&lt;please select&gt;","",'Q 2'!G101))</f>
        <v>Yes</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At least once a year</v>
      </c>
    </row>
    <row r="241" spans="1:11" x14ac:dyDescent="0.3">
      <c r="A241" t="s">
        <v>1792</v>
      </c>
      <c r="B241" t="s">
        <v>1793</v>
      </c>
      <c r="C241">
        <v>2</v>
      </c>
      <c r="D241" t="s">
        <v>1447</v>
      </c>
      <c r="E241" t="s">
        <v>1795</v>
      </c>
      <c r="F241" t="s">
        <v>1791</v>
      </c>
      <c r="J241" t="str">
        <f>IF(ISBLANK('Q 2'!H101),"",IF('Q 2'!H101="&lt;please select&gt;","",'Q 2'!H101))</f>
        <v>Meetings with the verifiers and DANAK are held once a year and when needed</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310</v>
      </c>
    </row>
    <row r="248" spans="1:11" x14ac:dyDescent="0.3">
      <c r="A248" t="s">
        <v>1796</v>
      </c>
      <c r="B248" t="s">
        <v>1797</v>
      </c>
      <c r="C248">
        <v>2</v>
      </c>
      <c r="D248" t="s">
        <v>1447</v>
      </c>
      <c r="E248" t="s">
        <v>1798</v>
      </c>
      <c r="F248" t="s">
        <v>1748</v>
      </c>
      <c r="H248" s="165" t="str">
        <f>IF(ISBLANK('Q 3'!G8),"",IF('Q 3'!G8="&lt;please select&gt;","",'Q 3'!G8))</f>
        <v>274</v>
      </c>
    </row>
    <row r="249" spans="1:11" x14ac:dyDescent="0.3">
      <c r="A249" t="s">
        <v>1796</v>
      </c>
      <c r="B249" t="s">
        <v>1797</v>
      </c>
      <c r="C249">
        <v>3</v>
      </c>
      <c r="D249" t="s">
        <v>1447</v>
      </c>
      <c r="E249" t="s">
        <v>1798</v>
      </c>
      <c r="F249" t="s">
        <v>1748</v>
      </c>
      <c r="H249" s="165" t="str">
        <f>IF(ISBLANK('Q 3'!G9),"",IF('Q 3'!G9="&lt;please select&gt;","",'Q 3'!G9))</f>
        <v>30</v>
      </c>
    </row>
    <row r="250" spans="1:11" x14ac:dyDescent="0.3">
      <c r="A250" t="s">
        <v>1796</v>
      </c>
      <c r="B250" t="s">
        <v>1797</v>
      </c>
      <c r="C250">
        <v>4</v>
      </c>
      <c r="D250" t="s">
        <v>1447</v>
      </c>
      <c r="E250" t="s">
        <v>1798</v>
      </c>
      <c r="F250" t="s">
        <v>1748</v>
      </c>
      <c r="H250" s="165" t="str">
        <f>IF(ISBLANK('Q 3'!G10),"",IF('Q 3'!G10="&lt;please select&gt;","",'Q 3'!G10))</f>
        <v>6</v>
      </c>
    </row>
    <row r="251" spans="1:11" x14ac:dyDescent="0.3">
      <c r="A251" t="s">
        <v>1796</v>
      </c>
      <c r="B251" t="s">
        <v>1797</v>
      </c>
      <c r="C251">
        <v>5</v>
      </c>
      <c r="D251" t="s">
        <v>1447</v>
      </c>
      <c r="E251" t="s">
        <v>1798</v>
      </c>
      <c r="F251" t="s">
        <v>1748</v>
      </c>
      <c r="H251" s="165" t="str">
        <f>IF(ISBLANK('Q 3'!G11),"",IF('Q 3'!G11="&lt;please select&gt;","",'Q 3'!G11))</f>
        <v>252</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No</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No</v>
      </c>
    </row>
    <row r="275" spans="1:11" x14ac:dyDescent="0.3">
      <c r="A275" t="s">
        <v>1796</v>
      </c>
      <c r="B275" t="s">
        <v>1799</v>
      </c>
      <c r="C275">
        <v>24</v>
      </c>
      <c r="D275" t="s">
        <v>1447</v>
      </c>
      <c r="E275" t="s">
        <v>1800</v>
      </c>
      <c r="F275" t="s">
        <v>1759</v>
      </c>
      <c r="K275" t="str">
        <f>IF(ISBLANK('Q 3'!H38),"",IF('Q 3'!H38="&lt;please select&gt;","",'Q 3'!H38))</f>
        <v>No</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6</v>
      </c>
    </row>
    <row r="293" spans="1:11" x14ac:dyDescent="0.3">
      <c r="A293" t="s">
        <v>1811</v>
      </c>
      <c r="B293" t="s">
        <v>1812</v>
      </c>
      <c r="C293">
        <v>2</v>
      </c>
      <c r="D293" t="s">
        <v>1447</v>
      </c>
      <c r="E293" t="s">
        <v>1813</v>
      </c>
      <c r="F293" t="s">
        <v>1748</v>
      </c>
      <c r="H293" s="165" t="str">
        <f>IF(ISBLANK('Q 3'!G65),"",IF('Q 3'!G65="&lt;please select&gt;","",'Q 3'!G65))</f>
        <v>2</v>
      </c>
    </row>
    <row r="294" spans="1:11" x14ac:dyDescent="0.3">
      <c r="A294" t="s">
        <v>1811</v>
      </c>
      <c r="B294" t="s">
        <v>1812</v>
      </c>
      <c r="C294">
        <v>3</v>
      </c>
      <c r="D294" t="s">
        <v>1447</v>
      </c>
      <c r="E294" t="s">
        <v>1813</v>
      </c>
      <c r="F294" t="s">
        <v>1748</v>
      </c>
      <c r="H294" s="165" t="str">
        <f>IF(ISBLANK('Q 3'!G66),"",IF('Q 3'!G66="&lt;please select&gt;","",'Q 3'!G66))</f>
        <v>8</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0</v>
      </c>
    </row>
    <row r="297" spans="1:11" x14ac:dyDescent="0.3">
      <c r="A297" t="s">
        <v>1811</v>
      </c>
      <c r="B297" t="s">
        <v>1812</v>
      </c>
      <c r="C297">
        <v>3</v>
      </c>
      <c r="D297" t="s">
        <v>1447</v>
      </c>
      <c r="E297" t="s">
        <v>1814</v>
      </c>
      <c r="F297" t="s">
        <v>1748</v>
      </c>
      <c r="H297" s="165" t="str">
        <f>IF(ISBLANK('Q 3'!H66),"",IF('Q 3'!H66="&lt;please select&gt;","",'Q 3'!H66))</f>
        <v>0</v>
      </c>
    </row>
    <row r="298" spans="1:11" x14ac:dyDescent="0.3">
      <c r="A298" t="s">
        <v>1811</v>
      </c>
      <c r="B298" t="s">
        <v>1812</v>
      </c>
      <c r="C298">
        <v>1</v>
      </c>
      <c r="D298" t="s">
        <v>1447</v>
      </c>
      <c r="E298" t="s">
        <v>1815</v>
      </c>
      <c r="F298" t="s">
        <v>1748</v>
      </c>
      <c r="H298" s="165" t="str">
        <f>IF(ISBLANK('Q 3'!I64),"",IF('Q 3'!I64="&lt;please select&gt;","",'Q 3'!I64))</f>
        <v>6</v>
      </c>
    </row>
    <row r="299" spans="1:11" x14ac:dyDescent="0.3">
      <c r="A299" t="s">
        <v>1811</v>
      </c>
      <c r="B299" t="s">
        <v>1812</v>
      </c>
      <c r="C299">
        <v>2</v>
      </c>
      <c r="D299" t="s">
        <v>1447</v>
      </c>
      <c r="E299" t="s">
        <v>1815</v>
      </c>
      <c r="F299" t="s">
        <v>1748</v>
      </c>
      <c r="H299" s="165" t="str">
        <f>IF(ISBLANK('Q 3'!I65),"",IF('Q 3'!I65="&lt;please select&gt;","",'Q 3'!I65))</f>
        <v>2</v>
      </c>
    </row>
    <row r="300" spans="1:11" x14ac:dyDescent="0.3">
      <c r="A300" t="s">
        <v>1811</v>
      </c>
      <c r="B300" t="s">
        <v>1812</v>
      </c>
      <c r="C300">
        <v>3</v>
      </c>
      <c r="D300" t="s">
        <v>1447</v>
      </c>
      <c r="E300" t="s">
        <v>1815</v>
      </c>
      <c r="F300" t="s">
        <v>1748</v>
      </c>
      <c r="H300" s="165" t="str">
        <f>IF(ISBLANK('Q 3'!I66),"",IF('Q 3'!I66="&lt;please select&gt;","",'Q 3'!I66))</f>
        <v>8</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No</v>
      </c>
    </row>
    <row r="308" spans="1:11" x14ac:dyDescent="0.3">
      <c r="A308" t="s">
        <v>1816</v>
      </c>
      <c r="B308" t="s">
        <v>1817</v>
      </c>
      <c r="C308">
        <v>8</v>
      </c>
      <c r="D308" t="s">
        <v>1447</v>
      </c>
      <c r="E308" t="s">
        <v>1818</v>
      </c>
      <c r="F308" t="s">
        <v>1737</v>
      </c>
      <c r="K308" t="str">
        <f>IF(ISBLANK('Q 4'!$G15),"",IF('Q 4'!$G15="&lt;please select&gt;","",'Q 4'!$G15))</f>
        <v>Yes</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Coordination between the DEA and the Danish Environmental Protection Agency: The Danish Energy Agency has agreed with the Environmental Protection Agency that the agency – on a regularly basis - will forward a list including the names of installations holding an IED-permit and thereby enable the Danish Energy Agency to compare it with the list of ETS-installations. Furthermore, there is no emission limit value for direct emissions of the greenhouse gases specified in the IED-permit.</v>
      </c>
    </row>
    <row r="317" spans="1:11" x14ac:dyDescent="0.3">
      <c r="A317" t="s">
        <v>1820</v>
      </c>
      <c r="B317" t="s">
        <v>1821</v>
      </c>
      <c r="C317">
        <v>1</v>
      </c>
      <c r="D317" t="s">
        <v>1447</v>
      </c>
      <c r="E317" t="s">
        <v>1822</v>
      </c>
      <c r="F317" t="s">
        <v>1741</v>
      </c>
      <c r="G317" t="str">
        <f>IF(ISBLANK('Q 4'!G19),"",IF('Q 4'!G19="&lt;please select&gt;","",'Q 4'!G19))</f>
        <v>A permit may be revoked: - When an installation no longer is covered of the annex I activities, - if the operator is guilty of gross or repeated violation of the provisions of the Danish Act on CO2 Allowances, of regulations issued pursuant to the Act on CO2 Allowances, of any EU legislation pertaining to matters covered by the Act on CO2 Allowances, or of the terms of the permit (only by court decision), - If the operator is not deemed to be able to fulfill his obligations under the Danish Act on CO2 Allowances in a fully justified manner , -or has a debt due to the public of more than DKK 100,000, cf. section 16 of the Danish Act on CO2-Allowance.</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Capacity changes should be reported in the monitoring plan without undue delay. When the DEA approves the monitoring plan, the operator also receive the permit. The permit and the approval of the monitoring plan is the same document.</v>
      </c>
    </row>
    <row r="320" spans="1:11" x14ac:dyDescent="0.3">
      <c r="A320" t="s">
        <v>1820</v>
      </c>
      <c r="B320" t="s">
        <v>1821</v>
      </c>
      <c r="C320">
        <v>4</v>
      </c>
      <c r="D320" t="s">
        <v>1447</v>
      </c>
      <c r="E320" t="s">
        <v>1822</v>
      </c>
      <c r="F320" t="s">
        <v>1741</v>
      </c>
      <c r="G320" t="str">
        <f>IF(ISBLANK('Q 4'!G22),"",IF('Q 4'!G22="&lt;please select&gt;","",'Q 4'!G22))</f>
        <v>When the DEA approves the monitoring plan, the operator also receive the permit. The permit and the approval of the monitoring plan is the same document.</v>
      </c>
    </row>
    <row r="321" spans="1:11" x14ac:dyDescent="0.3">
      <c r="A321" t="s">
        <v>1820</v>
      </c>
      <c r="B321" t="s">
        <v>1821</v>
      </c>
      <c r="C321">
        <v>5</v>
      </c>
      <c r="D321" t="s">
        <v>1447</v>
      </c>
      <c r="E321" t="s">
        <v>1822</v>
      </c>
      <c r="F321" t="s">
        <v>1741</v>
      </c>
      <c r="G321" t="str">
        <f>IF(ISBLANK('Q 4'!G23),"",IF('Q 4'!G23="&lt;please select&gt;","",'Q 4'!G23))</f>
        <v>The permit and the approval of the monitoring plan is the same document.</v>
      </c>
    </row>
    <row r="322" spans="1:11" x14ac:dyDescent="0.3">
      <c r="A322" t="s">
        <v>1820</v>
      </c>
      <c r="B322" t="s">
        <v>1821</v>
      </c>
      <c r="C322">
        <v>6</v>
      </c>
      <c r="D322" t="s">
        <v>1447</v>
      </c>
      <c r="E322" t="s">
        <v>1822</v>
      </c>
      <c r="F322" t="s">
        <v>1741</v>
      </c>
      <c r="G322" t="str">
        <f>IF(ISBLANK('Q 4'!G24),"",IF('Q 4'!G24="&lt;please select&gt;","",'Q 4'!G24))</f>
        <v>When an installation changes operator, the permit can be handed over to the new operator upon approval of the DEA</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152</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Order on sustainability, etc. of biofuels and bioliquids used for activities covered by the Act on CO2 allowances (no. 1619 of 15/12/2016) including requirements on documentation for sustainability.</v>
      </c>
    </row>
    <row r="329" spans="1:11" x14ac:dyDescent="0.3">
      <c r="A329" t="s">
        <v>1824</v>
      </c>
      <c r="B329" t="s">
        <v>1827</v>
      </c>
      <c r="C329">
        <v>0</v>
      </c>
      <c r="D329" t="s">
        <v>1447</v>
      </c>
      <c r="E329" t="s">
        <v>1827</v>
      </c>
      <c r="F329" t="s">
        <v>1759</v>
      </c>
      <c r="K329" t="str">
        <f>IF(ISBLANK('Q 5'!$I$10),"",IF('Q 5'!$I$10="&lt;please select&gt;","",'Q 5'!$I$10))</f>
        <v>Yes</v>
      </c>
    </row>
    <row r="330" spans="1:11" x14ac:dyDescent="0.3">
      <c r="A330" t="s">
        <v>1824</v>
      </c>
      <c r="B330" t="s">
        <v>1828</v>
      </c>
      <c r="C330">
        <v>0</v>
      </c>
      <c r="D330" t="s">
        <v>1447</v>
      </c>
      <c r="E330" t="s">
        <v>1828</v>
      </c>
      <c r="F330" t="s">
        <v>1741</v>
      </c>
      <c r="G330" t="str">
        <f>IF(ISBLANK('Q 5'!$C$12),"",IF('Q 5'!$C$12="&lt;please select&gt;","",'Q 5'!$C$12))</f>
        <v>Guidance regarding the ETS scheme is on the DEA's website (https://ens.dk/ansvarsomraader/co2-kvoter). The web page holds general information and links to guidance material on the Climate Action web page. For installations supporting papers have been developed, e.g. on biomass issues, thermal input and control activities</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No</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Yes</v>
      </c>
    </row>
    <row r="336" spans="1:11" x14ac:dyDescent="0.3">
      <c r="A336" t="s">
        <v>1829</v>
      </c>
      <c r="B336" t="s">
        <v>1830</v>
      </c>
      <c r="C336">
        <v>6</v>
      </c>
      <c r="D336" t="s">
        <v>1447</v>
      </c>
      <c r="E336" t="s">
        <v>1831</v>
      </c>
      <c r="F336" t="s">
        <v>1759</v>
      </c>
      <c r="K336" t="str">
        <f>IF(ISBLANK('Q 5'!G21),"",IF('Q 5'!G21="&lt;please select&gt;","",'Q 5'!G21))</f>
        <v>No</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The ETS reporting is also used for the greenhouse gas (GHG) inventory reporting. The staff involved in GHG inventory reporting receive the data in excel sheets and reports.</v>
      </c>
    </row>
    <row r="339" spans="1:11" x14ac:dyDescent="0.3">
      <c r="A339" t="s">
        <v>1829</v>
      </c>
      <c r="B339" t="s">
        <v>1830</v>
      </c>
      <c r="C339">
        <v>2</v>
      </c>
      <c r="D339" t="s">
        <v>1447</v>
      </c>
      <c r="E339" t="s">
        <v>1832</v>
      </c>
      <c r="F339" t="s">
        <v>1791</v>
      </c>
      <c r="J339" t="str">
        <f>IF(ISBLANK('Q 5'!H17),"",IF('Q 5'!H17="&lt;please select&gt;","",'Q 5'!H17))</f>
        <v>The ETS reportings are also used for the Annual Energy Statistics.</v>
      </c>
    </row>
    <row r="340" spans="1:11" x14ac:dyDescent="0.3">
      <c r="A340" t="s">
        <v>1829</v>
      </c>
      <c r="B340" t="s">
        <v>1830</v>
      </c>
      <c r="C340">
        <v>3</v>
      </c>
      <c r="D340" t="s">
        <v>1447</v>
      </c>
      <c r="E340" t="s">
        <v>1832</v>
      </c>
      <c r="F340" t="s">
        <v>1791</v>
      </c>
      <c r="J340" t="str">
        <f>IF(ISBLANK('Q 5'!H18),"",IF('Q 5'!H18="&lt;please select&gt;","",'Q 5'!H18))</f>
        <v>We are currently actively working on creating a structured coordination between the danish authorities responsible E-PRTR and the DEA</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Member State specific template</v>
      </c>
    </row>
    <row r="347" spans="1:11" x14ac:dyDescent="0.3">
      <c r="A347" t="s">
        <v>1833</v>
      </c>
      <c r="B347" t="s">
        <v>1835</v>
      </c>
      <c r="C347">
        <v>2</v>
      </c>
      <c r="D347" t="s">
        <v>1447</v>
      </c>
      <c r="E347" t="s">
        <v>1836</v>
      </c>
      <c r="F347" t="s">
        <v>1737</v>
      </c>
      <c r="K347" t="str">
        <f>IF(ISBLANK('Q 5'!F29),"",IF('Q 5'!F29="&lt;please select&gt;","",'Q 5'!F29))</f>
        <v>Member State specific template</v>
      </c>
    </row>
    <row r="348" spans="1:11" x14ac:dyDescent="0.3">
      <c r="A348" t="s">
        <v>1833</v>
      </c>
      <c r="B348" t="s">
        <v>1835</v>
      </c>
      <c r="C348">
        <v>3</v>
      </c>
      <c r="D348" t="s">
        <v>1447</v>
      </c>
      <c r="E348" t="s">
        <v>1836</v>
      </c>
      <c r="F348" t="s">
        <v>1737</v>
      </c>
      <c r="K348" t="str">
        <f>IF(ISBLANK('Q 5'!F30),"",IF('Q 5'!F30="&lt;please select&gt;","",'Q 5'!F30))</f>
        <v>Member State specific template</v>
      </c>
    </row>
    <row r="349" spans="1:11" x14ac:dyDescent="0.3">
      <c r="A349" t="s">
        <v>1833</v>
      </c>
      <c r="B349" t="s">
        <v>1835</v>
      </c>
      <c r="C349">
        <v>4</v>
      </c>
      <c r="D349" t="s">
        <v>1447</v>
      </c>
      <c r="E349" t="s">
        <v>1836</v>
      </c>
      <c r="F349" t="s">
        <v>1737</v>
      </c>
      <c r="K349" t="str">
        <f>IF(ISBLANK('Q 5'!F31),"",IF('Q 5'!F31="&lt;please select&gt;","",'Q 5'!F31))</f>
        <v>Member State specific file format</v>
      </c>
    </row>
    <row r="350" spans="1:11" x14ac:dyDescent="0.3">
      <c r="A350" t="s">
        <v>1833</v>
      </c>
      <c r="B350" t="s">
        <v>1835</v>
      </c>
      <c r="C350">
        <v>1</v>
      </c>
      <c r="D350" t="s">
        <v>1447</v>
      </c>
      <c r="E350" t="s">
        <v>1837</v>
      </c>
      <c r="F350" t="s">
        <v>1741</v>
      </c>
      <c r="G350" t="str">
        <f>IF(ISBLANK('Q 5'!H28),"",IF('Q 5'!H28="&lt;please select&gt;","",'Q 5'!H28))</f>
        <v>An online application with the content of Commission template has been developed. Installations using measurement-based methodology are using the Commissions template.</v>
      </c>
    </row>
    <row r="351" spans="1:11" x14ac:dyDescent="0.3">
      <c r="A351" t="s">
        <v>1833</v>
      </c>
      <c r="B351" t="s">
        <v>1835</v>
      </c>
      <c r="C351">
        <v>2</v>
      </c>
      <c r="D351" t="s">
        <v>1447</v>
      </c>
      <c r="E351" t="s">
        <v>1837</v>
      </c>
      <c r="F351" t="s">
        <v>1741</v>
      </c>
      <c r="G351" t="str">
        <f>IF(ISBLANK('Q 5'!H29),"",IF('Q 5'!H29="&lt;please select&gt;","",'Q 5'!H29))</f>
        <v>An online application with the content of Commission template has been developed. Installations using measurement-based methodolgy are using the Comissions templeate.</v>
      </c>
    </row>
    <row r="352" spans="1:11" x14ac:dyDescent="0.3">
      <c r="A352" t="s">
        <v>1833</v>
      </c>
      <c r="B352" t="s">
        <v>1835</v>
      </c>
      <c r="C352">
        <v>3</v>
      </c>
      <c r="D352" t="s">
        <v>1447</v>
      </c>
      <c r="E352" t="s">
        <v>1837</v>
      </c>
      <c r="F352" t="s">
        <v>1741</v>
      </c>
      <c r="G352" t="str">
        <f>IF(ISBLANK('Q 5'!H30),"",IF('Q 5'!H30="&lt;please select&gt;","",'Q 5'!H30))</f>
        <v>An online version of the Commission template has been developed.</v>
      </c>
    </row>
    <row r="353" spans="1:11" x14ac:dyDescent="0.3">
      <c r="A353" t="s">
        <v>1833</v>
      </c>
      <c r="B353" t="s">
        <v>1835</v>
      </c>
      <c r="C353">
        <v>4</v>
      </c>
      <c r="D353" t="s">
        <v>1447</v>
      </c>
      <c r="E353" t="s">
        <v>1837</v>
      </c>
      <c r="F353" t="s">
        <v>1741</v>
      </c>
      <c r="G353" t="str">
        <f>IF(ISBLANK('Q 5'!H31),"",IF('Q 5'!H31="&lt;please select&gt;","",'Q 5'!H31))</f>
        <v>An online version of the Commission template on improvement report covering the improvement reporting based on the verifification report (MRR Article 69,4) has been deployed in 2020. Installations which do not use the required tier (MRR Article 69,1) use the Commission excel template.</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We use the commission template</v>
      </c>
    </row>
    <row r="359" spans="1:11" x14ac:dyDescent="0.3">
      <c r="A359" t="s">
        <v>1833</v>
      </c>
      <c r="B359" t="s">
        <v>1838</v>
      </c>
      <c r="C359">
        <v>2</v>
      </c>
      <c r="D359" t="s">
        <v>1447</v>
      </c>
      <c r="E359" t="s">
        <v>1837</v>
      </c>
      <c r="F359" t="s">
        <v>1741</v>
      </c>
      <c r="G359" t="str">
        <f>IF(ISBLANK('Q 5'!H36),"",IF('Q 5'!H36="&lt;please select&gt;","",'Q 5'!H36))</f>
        <v>We use the commission template</v>
      </c>
    </row>
    <row r="360" spans="1:11" x14ac:dyDescent="0.3">
      <c r="A360" t="s">
        <v>1833</v>
      </c>
      <c r="B360" t="s">
        <v>1838</v>
      </c>
      <c r="C360">
        <v>3</v>
      </c>
      <c r="D360" t="s">
        <v>1447</v>
      </c>
      <c r="E360" t="s">
        <v>1837</v>
      </c>
      <c r="F360" t="s">
        <v>1741</v>
      </c>
      <c r="G360" t="str">
        <f>IF(ISBLANK('Q 5'!H37),"",IF('Q 5'!H37="&lt;please select&gt;","",'Q 5'!H37))</f>
        <v>We use the commission template</v>
      </c>
    </row>
    <row r="361" spans="1:11" x14ac:dyDescent="0.3">
      <c r="A361" t="s">
        <v>1833</v>
      </c>
      <c r="B361" t="s">
        <v>1838</v>
      </c>
      <c r="C361">
        <v>4</v>
      </c>
      <c r="D361" t="s">
        <v>1447</v>
      </c>
      <c r="E361" t="s">
        <v>1837</v>
      </c>
      <c r="F361" t="s">
        <v>1741</v>
      </c>
      <c r="G361" t="str">
        <f>IF(ISBLANK('Q 5'!H38),"",IF('Q 5'!H38="&lt;please select&gt;","",'Q 5'!H38))</f>
        <v>We use the commission template</v>
      </c>
    </row>
    <row r="362" spans="1:11" x14ac:dyDescent="0.3">
      <c r="A362" t="s">
        <v>1833</v>
      </c>
      <c r="B362" t="s">
        <v>1839</v>
      </c>
      <c r="C362">
        <v>0</v>
      </c>
      <c r="D362" t="s">
        <v>1447</v>
      </c>
      <c r="E362" t="s">
        <v>1839</v>
      </c>
      <c r="F362" t="s">
        <v>1741</v>
      </c>
      <c r="G362" t="str">
        <f>IF(ISBLANK('Q 5'!$C$42),"",IF('Q 5'!$C$42="&lt;please select&gt;","",'Q 5'!$C$42))</f>
        <v>The online system contains the same information, as the templates published by the commission, and is based on the common reporting language.</v>
      </c>
    </row>
    <row r="363" spans="1:11" x14ac:dyDescent="0.3">
      <c r="A363" t="s">
        <v>1840</v>
      </c>
      <c r="B363" t="s">
        <v>1841</v>
      </c>
      <c r="C363">
        <v>0</v>
      </c>
      <c r="D363" t="s">
        <v>1447</v>
      </c>
      <c r="E363" t="s">
        <v>1841</v>
      </c>
      <c r="F363" t="s">
        <v>1759</v>
      </c>
      <c r="K363" t="str">
        <f>IF(ISBLANK('Q 5'!$I$45),"",IF('Q 5'!$I$45="&lt;please select&gt;","",'Q 5'!$I$45))</f>
        <v>Yes</v>
      </c>
    </row>
    <row r="364" spans="1:11" x14ac:dyDescent="0.3">
      <c r="A364" t="s">
        <v>1840</v>
      </c>
      <c r="B364" t="s">
        <v>1842</v>
      </c>
      <c r="C364">
        <v>0</v>
      </c>
      <c r="D364" t="s">
        <v>1447</v>
      </c>
      <c r="E364" t="s">
        <v>1842</v>
      </c>
      <c r="F364" t="s">
        <v>1741</v>
      </c>
      <c r="G364" t="str">
        <f>IF(ISBLANK('Q 5'!$C$47),"",IF('Q 5'!$C$47="&lt;please select&gt;","",'Q 5'!$C$47))</f>
        <v>The rules in Article 75 (1) and (2) have been integreted in delevoping the DEA's new electronic system for the ETS scheme. For example: Secure SSL for encryption of data, login with digital signatures and digital signing, automatically generated e-mails from the system without enclosing files (the operator shall download the files directly)</v>
      </c>
    </row>
    <row r="365" spans="1:11" x14ac:dyDescent="0.3">
      <c r="A365" t="s">
        <v>1843</v>
      </c>
      <c r="B365" t="s">
        <v>1844</v>
      </c>
      <c r="C365">
        <v>1</v>
      </c>
      <c r="D365" t="s">
        <v>1447</v>
      </c>
      <c r="E365" t="s">
        <v>1845</v>
      </c>
      <c r="F365" t="s">
        <v>1806</v>
      </c>
      <c r="I365" t="str">
        <f>IF(ISBLANK('Q 5'!F53),"",IF('Q 5'!F53="&lt;please select&gt;","",'Q 5'!F53))</f>
        <v>44115.06</v>
      </c>
    </row>
    <row r="366" spans="1:11" x14ac:dyDescent="0.3">
      <c r="A366" t="s">
        <v>1843</v>
      </c>
      <c r="B366" t="s">
        <v>1844</v>
      </c>
      <c r="C366">
        <v>2</v>
      </c>
      <c r="D366" t="s">
        <v>1447</v>
      </c>
      <c r="E366" t="s">
        <v>1845</v>
      </c>
      <c r="F366" t="s">
        <v>1806</v>
      </c>
      <c r="I366" t="str">
        <f>IF(ISBLANK('Q 5'!F54),"",IF('Q 5'!F54="&lt;please select&gt;","",'Q 5'!F54))</f>
        <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322.76</v>
      </c>
    </row>
    <row r="369" spans="1:9" x14ac:dyDescent="0.3">
      <c r="A369" t="s">
        <v>1843</v>
      </c>
      <c r="B369" t="s">
        <v>1844</v>
      </c>
      <c r="C369">
        <v>5</v>
      </c>
      <c r="D369" t="s">
        <v>1447</v>
      </c>
      <c r="E369" t="s">
        <v>1845</v>
      </c>
      <c r="F369" t="s">
        <v>1806</v>
      </c>
      <c r="I369" t="str">
        <f>IF(ISBLANK('Q 5'!F57),"",IF('Q 5'!F57="&lt;please select&gt;","",'Q 5'!F57))</f>
        <v>45457</v>
      </c>
    </row>
    <row r="370" spans="1:9" x14ac:dyDescent="0.3">
      <c r="A370" t="s">
        <v>1843</v>
      </c>
      <c r="B370" t="s">
        <v>1844</v>
      </c>
      <c r="C370">
        <v>6</v>
      </c>
      <c r="D370" t="s">
        <v>1447</v>
      </c>
      <c r="E370" t="s">
        <v>1845</v>
      </c>
      <c r="F370" t="s">
        <v>1806</v>
      </c>
      <c r="I370" t="str">
        <f>IF(ISBLANK('Q 5'!F58),"",IF('Q 5'!F58="&lt;please select&gt;","",'Q 5'!F58))</f>
        <v/>
      </c>
    </row>
    <row r="371" spans="1:9" x14ac:dyDescent="0.3">
      <c r="A371" t="s">
        <v>1843</v>
      </c>
      <c r="B371" t="s">
        <v>1844</v>
      </c>
      <c r="C371">
        <v>7</v>
      </c>
      <c r="D371" t="s">
        <v>1447</v>
      </c>
      <c r="E371" t="s">
        <v>1845</v>
      </c>
      <c r="F371" t="s">
        <v>1806</v>
      </c>
      <c r="I371" t="str">
        <f>IF(ISBLANK('Q 5'!F59),"",IF('Q 5'!F59="&lt;please select&gt;","",'Q 5'!F59))</f>
        <v/>
      </c>
    </row>
    <row r="372" spans="1:9" x14ac:dyDescent="0.3">
      <c r="A372" t="s">
        <v>1843</v>
      </c>
      <c r="B372" t="s">
        <v>1844</v>
      </c>
      <c r="C372">
        <v>8</v>
      </c>
      <c r="D372" t="s">
        <v>1447</v>
      </c>
      <c r="E372" t="s">
        <v>1845</v>
      </c>
      <c r="F372" t="s">
        <v>1806</v>
      </c>
      <c r="I372" t="str">
        <f>IF(ISBLANK('Q 5'!F60),"",IF('Q 5'!F60="&lt;please select&gt;","",'Q 5'!F60))</f>
        <v>15539</v>
      </c>
    </row>
    <row r="373" spans="1:9" x14ac:dyDescent="0.3">
      <c r="A373" t="s">
        <v>1843</v>
      </c>
      <c r="B373" t="s">
        <v>1844</v>
      </c>
      <c r="C373">
        <v>9</v>
      </c>
      <c r="D373" t="s">
        <v>1447</v>
      </c>
      <c r="E373" t="s">
        <v>1845</v>
      </c>
      <c r="F373" t="s">
        <v>1806</v>
      </c>
      <c r="I373" t="str">
        <f>IF(ISBLANK('Q 5'!F61),"",IF('Q 5'!F61="&lt;please select&gt;","",'Q 5'!F61))</f>
        <v>4909.79</v>
      </c>
    </row>
    <row r="374" spans="1:9" x14ac:dyDescent="0.3">
      <c r="A374" t="s">
        <v>1843</v>
      </c>
      <c r="B374" t="s">
        <v>1844</v>
      </c>
      <c r="C374">
        <v>10</v>
      </c>
      <c r="D374" t="s">
        <v>1447</v>
      </c>
      <c r="E374" t="s">
        <v>1845</v>
      </c>
      <c r="F374" t="s">
        <v>1806</v>
      </c>
      <c r="I374" t="str">
        <f>IF(ISBLANK('Q 5'!F62),"",IF('Q 5'!F62="&lt;please select&gt;","",'Q 5'!F62))</f>
        <v>220.24</v>
      </c>
    </row>
    <row r="375" spans="1:9" x14ac:dyDescent="0.3">
      <c r="A375" t="s">
        <v>1843</v>
      </c>
      <c r="B375" t="s">
        <v>1844</v>
      </c>
      <c r="C375">
        <v>11</v>
      </c>
      <c r="D375" t="s">
        <v>1447</v>
      </c>
      <c r="E375" t="s">
        <v>1845</v>
      </c>
      <c r="F375" t="s">
        <v>1806</v>
      </c>
      <c r="I375" t="str">
        <f>IF(ISBLANK('Q 5'!F63),"",IF('Q 5'!F63="&lt;please select&gt;","",'Q 5'!F63))</f>
        <v>6543.96</v>
      </c>
    </row>
    <row r="376" spans="1:9" x14ac:dyDescent="0.3">
      <c r="A376" t="s">
        <v>1843</v>
      </c>
      <c r="B376" t="s">
        <v>1844</v>
      </c>
      <c r="C376">
        <v>12</v>
      </c>
      <c r="D376" t="s">
        <v>1447</v>
      </c>
      <c r="E376" t="s">
        <v>1845</v>
      </c>
      <c r="F376" t="s">
        <v>1806</v>
      </c>
      <c r="I376" t="str">
        <f>IF(ISBLANK('Q 5'!F64),"",IF('Q 5'!F64="&lt;please select&gt;","",'Q 5'!F64))</f>
        <v>16235</v>
      </c>
    </row>
    <row r="377" spans="1:9" x14ac:dyDescent="0.3">
      <c r="A377" t="s">
        <v>1843</v>
      </c>
      <c r="B377" t="s">
        <v>1844</v>
      </c>
      <c r="C377">
        <v>1</v>
      </c>
      <c r="D377" t="s">
        <v>1447</v>
      </c>
      <c r="E377" t="s">
        <v>1848</v>
      </c>
      <c r="F377" t="s">
        <v>1806</v>
      </c>
      <c r="I377" t="str">
        <f>IF(ISBLANK('Q 5'!H53),"",IF('Q 5'!H53="&lt;please select&gt;","",'Q 5'!H53))</f>
        <v>4136386.83</v>
      </c>
    </row>
    <row r="378" spans="1:9" x14ac:dyDescent="0.3">
      <c r="A378" t="s">
        <v>1843</v>
      </c>
      <c r="B378" t="s">
        <v>1844</v>
      </c>
      <c r="C378">
        <v>2</v>
      </c>
      <c r="D378" t="s">
        <v>1447</v>
      </c>
      <c r="E378" t="s">
        <v>1848</v>
      </c>
      <c r="F378" t="s">
        <v>1806</v>
      </c>
      <c r="I378" t="str">
        <f>IF(ISBLANK('Q 5'!H54),"",IF('Q 5'!H54="&lt;please select&gt;","",'Q 5'!H54))</f>
        <v/>
      </c>
    </row>
    <row r="379" spans="1:9" x14ac:dyDescent="0.3">
      <c r="A379" t="s">
        <v>1843</v>
      </c>
      <c r="B379" t="s">
        <v>1844</v>
      </c>
      <c r="C379">
        <v>3</v>
      </c>
      <c r="D379" t="s">
        <v>1447</v>
      </c>
      <c r="E379" t="s">
        <v>1848</v>
      </c>
      <c r="F379" t="s">
        <v>1806</v>
      </c>
      <c r="I379" t="str">
        <f>IF(ISBLANK('Q 5'!H55),"",IF('Q 5'!H55="&lt;please select&gt;","",'Q 5'!H55))</f>
        <v/>
      </c>
    </row>
    <row r="380" spans="1:9" x14ac:dyDescent="0.3">
      <c r="A380" t="s">
        <v>1843</v>
      </c>
      <c r="B380" t="s">
        <v>1844</v>
      </c>
      <c r="C380">
        <v>4</v>
      </c>
      <c r="D380" t="s">
        <v>1447</v>
      </c>
      <c r="E380" t="s">
        <v>1848</v>
      </c>
      <c r="F380" t="s">
        <v>1806</v>
      </c>
      <c r="I380" t="str">
        <f>IF(ISBLANK('Q 5'!H56),"",IF('Q 5'!H56="&lt;please select&gt;","",'Q 5'!H56))</f>
        <v>34717</v>
      </c>
    </row>
    <row r="381" spans="1:9" x14ac:dyDescent="0.3">
      <c r="A381" t="s">
        <v>1843</v>
      </c>
      <c r="B381" t="s">
        <v>1844</v>
      </c>
      <c r="C381">
        <v>5</v>
      </c>
      <c r="D381" t="s">
        <v>1447</v>
      </c>
      <c r="E381" t="s">
        <v>1848</v>
      </c>
      <c r="F381" t="s">
        <v>1806</v>
      </c>
      <c r="I381" t="str">
        <f>IF(ISBLANK('Q 5'!H57),"",IF('Q 5'!H57="&lt;please select&gt;","",'Q 5'!H57))</f>
        <v>2551017</v>
      </c>
    </row>
    <row r="382" spans="1:9" x14ac:dyDescent="0.3">
      <c r="A382" t="s">
        <v>1843</v>
      </c>
      <c r="B382" t="s">
        <v>1844</v>
      </c>
      <c r="C382">
        <v>6</v>
      </c>
      <c r="D382" t="s">
        <v>1447</v>
      </c>
      <c r="E382" t="s">
        <v>1848</v>
      </c>
      <c r="F382" t="s">
        <v>1806</v>
      </c>
      <c r="I382" t="str">
        <f>IF(ISBLANK('Q 5'!H58),"",IF('Q 5'!H58="&lt;please select&gt;","",'Q 5'!H58))</f>
        <v/>
      </c>
    </row>
    <row r="383" spans="1:9" x14ac:dyDescent="0.3">
      <c r="A383" t="s">
        <v>1843</v>
      </c>
      <c r="B383" t="s">
        <v>1844</v>
      </c>
      <c r="C383">
        <v>7</v>
      </c>
      <c r="D383" t="s">
        <v>1447</v>
      </c>
      <c r="E383" t="s">
        <v>1848</v>
      </c>
      <c r="F383" t="s">
        <v>1806</v>
      </c>
      <c r="I383" t="str">
        <f>IF(ISBLANK('Q 5'!H59),"",IF('Q 5'!H59="&lt;please select&gt;","",'Q 5'!H59))</f>
        <v/>
      </c>
    </row>
    <row r="384" spans="1:9" x14ac:dyDescent="0.3">
      <c r="A384" t="s">
        <v>1843</v>
      </c>
      <c r="B384" t="s">
        <v>1844</v>
      </c>
      <c r="C384">
        <v>8</v>
      </c>
      <c r="D384" t="s">
        <v>1447</v>
      </c>
      <c r="E384" t="s">
        <v>1848</v>
      </c>
      <c r="F384" t="s">
        <v>1806</v>
      </c>
      <c r="I384" t="str">
        <f>IF(ISBLANK('Q 5'!H60),"",IF('Q 5'!H60="&lt;please select&gt;","",'Q 5'!H60))</f>
        <v>877764</v>
      </c>
    </row>
    <row r="385" spans="1:11" x14ac:dyDescent="0.3">
      <c r="A385" t="s">
        <v>1843</v>
      </c>
      <c r="B385" t="s">
        <v>1844</v>
      </c>
      <c r="C385">
        <v>9</v>
      </c>
      <c r="D385" t="s">
        <v>1447</v>
      </c>
      <c r="E385" t="s">
        <v>1848</v>
      </c>
      <c r="F385" t="s">
        <v>1806</v>
      </c>
      <c r="I385" t="str">
        <f>IF(ISBLANK('Q 5'!H61),"",IF('Q 5'!H61="&lt;please select&gt;","",'Q 5'!H61))</f>
        <v>375225</v>
      </c>
    </row>
    <row r="386" spans="1:11" x14ac:dyDescent="0.3">
      <c r="A386" t="s">
        <v>1843</v>
      </c>
      <c r="B386" t="s">
        <v>1844</v>
      </c>
      <c r="C386">
        <v>10</v>
      </c>
      <c r="D386" t="s">
        <v>1447</v>
      </c>
      <c r="E386" t="s">
        <v>1848</v>
      </c>
      <c r="F386" t="s">
        <v>1806</v>
      </c>
      <c r="I386" t="str">
        <f>IF(ISBLANK('Q 5'!H62),"",IF('Q 5'!H62="&lt;please select&gt;","",'Q 5'!H62))</f>
        <v>14310</v>
      </c>
    </row>
    <row r="387" spans="1:11" x14ac:dyDescent="0.3">
      <c r="A387" t="s">
        <v>1843</v>
      </c>
      <c r="B387" t="s">
        <v>1844</v>
      </c>
      <c r="C387">
        <v>11</v>
      </c>
      <c r="D387" t="s">
        <v>1447</v>
      </c>
      <c r="E387" t="s">
        <v>1848</v>
      </c>
      <c r="F387" t="s">
        <v>1806</v>
      </c>
      <c r="I387" t="str">
        <f>IF(ISBLANK('Q 5'!H63),"",IF('Q 5'!H63="&lt;please select&gt;","",'Q 5'!H63))</f>
        <v>611670.58</v>
      </c>
    </row>
    <row r="388" spans="1:11" x14ac:dyDescent="0.3">
      <c r="A388" t="s">
        <v>1843</v>
      </c>
      <c r="B388" t="s">
        <v>1844</v>
      </c>
      <c r="C388">
        <v>12</v>
      </c>
      <c r="D388" t="s">
        <v>1447</v>
      </c>
      <c r="E388" t="s">
        <v>1848</v>
      </c>
      <c r="F388" t="s">
        <v>1806</v>
      </c>
      <c r="I388" t="str">
        <f>IF(ISBLANK('Q 5'!H64),"",IF('Q 5'!H64="&lt;please select&gt;","",'Q 5'!H64))</f>
        <v>571349</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1A1a - Energy - Public Electricity and Heat Production</v>
      </c>
    </row>
    <row r="391" spans="1:11" x14ac:dyDescent="0.3">
      <c r="A391" t="s">
        <v>1846</v>
      </c>
      <c r="B391" t="s">
        <v>1849</v>
      </c>
      <c r="C391">
        <v>3</v>
      </c>
      <c r="D391" t="s">
        <v>1447</v>
      </c>
      <c r="E391" t="s">
        <v>1850</v>
      </c>
      <c r="F391" t="s">
        <v>1737</v>
      </c>
      <c r="K391" t="str">
        <f>IF(ISBLANK('Q 5'!C71),"",IF('Q 5'!C71="&lt;please select&gt;","",'Q 5'!C71))</f>
        <v>1A1b - Energy - Petroleum Refining</v>
      </c>
    </row>
    <row r="392" spans="1:11" x14ac:dyDescent="0.3">
      <c r="A392" t="s">
        <v>1846</v>
      </c>
      <c r="B392" t="s">
        <v>1849</v>
      </c>
      <c r="C392">
        <v>4</v>
      </c>
      <c r="D392" t="s">
        <v>1447</v>
      </c>
      <c r="E392" t="s">
        <v>1850</v>
      </c>
      <c r="F392" t="s">
        <v>1737</v>
      </c>
      <c r="K392" t="str">
        <f>IF(ISBLANK('Q 5'!C72),"",IF('Q 5'!C72="&lt;please select&gt;","",'Q 5'!C72))</f>
        <v>1A1c - Energy - Manufacture of Solid Fuels and Other Energy Industries</v>
      </c>
    </row>
    <row r="393" spans="1:11" x14ac:dyDescent="0.3">
      <c r="A393" t="s">
        <v>1846</v>
      </c>
      <c r="B393" t="s">
        <v>1849</v>
      </c>
      <c r="C393">
        <v>5</v>
      </c>
      <c r="D393" t="s">
        <v>1447</v>
      </c>
      <c r="E393" t="s">
        <v>1850</v>
      </c>
      <c r="F393" t="s">
        <v>1737</v>
      </c>
      <c r="K393" t="str">
        <f>IF(ISBLANK('Q 5'!C73),"",IF('Q 5'!C73="&lt;please select&gt;","",'Q 5'!C73))</f>
        <v>1A2a - Energy - Iron and Steel</v>
      </c>
    </row>
    <row r="394" spans="1:11" x14ac:dyDescent="0.3">
      <c r="A394" t="s">
        <v>1846</v>
      </c>
      <c r="B394" t="s">
        <v>1849</v>
      </c>
      <c r="C394">
        <v>6</v>
      </c>
      <c r="D394" t="s">
        <v>1447</v>
      </c>
      <c r="E394" t="s">
        <v>1850</v>
      </c>
      <c r="F394" t="s">
        <v>1737</v>
      </c>
      <c r="K394" t="str">
        <f>IF(ISBLANK('Q 5'!C74),"",IF('Q 5'!C74="&lt;please select&gt;","",'Q 5'!C74))</f>
        <v>1A2c - Energy - Chemicals</v>
      </c>
    </row>
    <row r="395" spans="1:11" x14ac:dyDescent="0.3">
      <c r="A395" t="s">
        <v>1846</v>
      </c>
      <c r="B395" t="s">
        <v>1849</v>
      </c>
      <c r="C395">
        <v>7</v>
      </c>
      <c r="D395" t="s">
        <v>1447</v>
      </c>
      <c r="E395" t="s">
        <v>1850</v>
      </c>
      <c r="F395" t="s">
        <v>1737</v>
      </c>
      <c r="K395" t="str">
        <f>IF(ISBLANK('Q 5'!C75),"",IF('Q 5'!C75="&lt;please select&gt;","",'Q 5'!C75))</f>
        <v>1A2d - Energy - Pulp, Paper and Print</v>
      </c>
    </row>
    <row r="396" spans="1:11" x14ac:dyDescent="0.3">
      <c r="A396" t="s">
        <v>1846</v>
      </c>
      <c r="B396" t="s">
        <v>1849</v>
      </c>
      <c r="C396">
        <v>8</v>
      </c>
      <c r="D396" t="s">
        <v>1447</v>
      </c>
      <c r="E396" t="s">
        <v>1850</v>
      </c>
      <c r="F396" t="s">
        <v>1737</v>
      </c>
      <c r="K396" t="str">
        <f>IF(ISBLANK('Q 5'!C76),"",IF('Q 5'!C76="&lt;please select&gt;","",'Q 5'!C76))</f>
        <v>1A2e - Energy - Food Processing, Beverages and Tobacco</v>
      </c>
    </row>
    <row r="397" spans="1:11" x14ac:dyDescent="0.3">
      <c r="A397" t="s">
        <v>1846</v>
      </c>
      <c r="B397" t="s">
        <v>1849</v>
      </c>
      <c r="C397">
        <v>9</v>
      </c>
      <c r="D397" t="s">
        <v>1447</v>
      </c>
      <c r="E397" t="s">
        <v>1850</v>
      </c>
      <c r="F397" t="s">
        <v>1737</v>
      </c>
      <c r="K397" t="str">
        <f>IF(ISBLANK('Q 5'!C77),"",IF('Q 5'!C77="&lt;please select&gt;","",'Q 5'!C77))</f>
        <v>1A2e - Energy - Food Processing, Beverages and Tobacco</v>
      </c>
    </row>
    <row r="398" spans="1:11" x14ac:dyDescent="0.3">
      <c r="A398" t="s">
        <v>1846</v>
      </c>
      <c r="B398" t="s">
        <v>1849</v>
      </c>
      <c r="C398">
        <v>10</v>
      </c>
      <c r="D398" t="s">
        <v>1447</v>
      </c>
      <c r="E398" t="s">
        <v>1850</v>
      </c>
      <c r="F398" t="s">
        <v>1737</v>
      </c>
      <c r="K398" t="str">
        <f>IF(ISBLANK('Q 5'!C78),"",IF('Q 5'!C78="&lt;please select&gt;","",'Q 5'!C78))</f>
        <v>1A2f - Energy - Non-metallic minerals</v>
      </c>
    </row>
    <row r="399" spans="1:11" x14ac:dyDescent="0.3">
      <c r="A399" t="s">
        <v>1846</v>
      </c>
      <c r="B399" t="s">
        <v>1849</v>
      </c>
      <c r="C399">
        <v>11</v>
      </c>
      <c r="D399" t="s">
        <v>1447</v>
      </c>
      <c r="E399" t="s">
        <v>1850</v>
      </c>
      <c r="F399" t="s">
        <v>1737</v>
      </c>
      <c r="K399" t="str">
        <f>IF(ISBLANK('Q 5'!C79),"",IF('Q 5'!C79="&lt;please select&gt;","",'Q 5'!C79))</f>
        <v>1A2f - Energy - Non-metallic minerals</v>
      </c>
    </row>
    <row r="400" spans="1:11" x14ac:dyDescent="0.3">
      <c r="A400" t="s">
        <v>1846</v>
      </c>
      <c r="B400" t="s">
        <v>1849</v>
      </c>
      <c r="C400">
        <v>12</v>
      </c>
      <c r="D400" t="s">
        <v>1447</v>
      </c>
      <c r="E400" t="s">
        <v>1850</v>
      </c>
      <c r="F400" t="s">
        <v>1737</v>
      </c>
      <c r="K400" t="str">
        <f>IF(ISBLANK('Q 5'!C80),"",IF('Q 5'!C80="&lt;please select&gt;","",'Q 5'!C80))</f>
        <v>1A2f - Energy - Non-metallic minerals</v>
      </c>
    </row>
    <row r="401" spans="1:11" x14ac:dyDescent="0.3">
      <c r="A401" t="s">
        <v>1846</v>
      </c>
      <c r="B401" t="s">
        <v>1849</v>
      </c>
      <c r="C401">
        <v>13</v>
      </c>
      <c r="D401" t="s">
        <v>1447</v>
      </c>
      <c r="E401" t="s">
        <v>1850</v>
      </c>
      <c r="F401" t="s">
        <v>1737</v>
      </c>
      <c r="K401" t="str">
        <f>IF(ISBLANK('Q 5'!C81),"",IF('Q 5'!C81="&lt;please select&gt;","",'Q 5'!C81))</f>
        <v>1A2f - Energy - Non-metallic minerals</v>
      </c>
    </row>
    <row r="402" spans="1:11" x14ac:dyDescent="0.3">
      <c r="A402" t="s">
        <v>1846</v>
      </c>
      <c r="B402" t="s">
        <v>1849</v>
      </c>
      <c r="C402">
        <v>14</v>
      </c>
      <c r="D402" t="s">
        <v>1447</v>
      </c>
      <c r="E402" t="s">
        <v>1850</v>
      </c>
      <c r="F402" t="s">
        <v>1737</v>
      </c>
      <c r="K402" t="str">
        <f>IF(ISBLANK('Q 5'!C82),"",IF('Q 5'!C82="&lt;please select&gt;","",'Q 5'!C82))</f>
        <v>1A2f - Energy - Non-metallic minerals</v>
      </c>
    </row>
    <row r="403" spans="1:11" x14ac:dyDescent="0.3">
      <c r="A403" t="s">
        <v>1846</v>
      </c>
      <c r="B403" t="s">
        <v>1849</v>
      </c>
      <c r="C403">
        <v>15</v>
      </c>
      <c r="D403" t="s">
        <v>1447</v>
      </c>
      <c r="E403" t="s">
        <v>1850</v>
      </c>
      <c r="F403" t="s">
        <v>1737</v>
      </c>
      <c r="K403" t="str">
        <f>IF(ISBLANK('Q 5'!C83),"",IF('Q 5'!C83="&lt;please select&gt;","",'Q 5'!C83))</f>
        <v>1A2f - Energy - Non-metallic minerals</v>
      </c>
    </row>
    <row r="404" spans="1:11" x14ac:dyDescent="0.3">
      <c r="A404" t="s">
        <v>1846</v>
      </c>
      <c r="B404" t="s">
        <v>1849</v>
      </c>
      <c r="C404">
        <v>16</v>
      </c>
      <c r="D404" t="s">
        <v>1447</v>
      </c>
      <c r="E404" t="s">
        <v>1850</v>
      </c>
      <c r="F404" t="s">
        <v>1737</v>
      </c>
      <c r="K404" t="str">
        <f>IF(ISBLANK('Q 5'!C84),"",IF('Q 5'!C84="&lt;please select&gt;","",'Q 5'!C84))</f>
        <v>1A2g - Energy - Other Manufacturing Industries and Construction</v>
      </c>
    </row>
    <row r="405" spans="1:11" x14ac:dyDescent="0.3">
      <c r="A405" t="s">
        <v>1846</v>
      </c>
      <c r="B405" t="s">
        <v>1849</v>
      </c>
      <c r="C405">
        <v>17</v>
      </c>
      <c r="D405" t="s">
        <v>1447</v>
      </c>
      <c r="E405" t="s">
        <v>1850</v>
      </c>
      <c r="F405" t="s">
        <v>1737</v>
      </c>
      <c r="K405" t="str">
        <f>IF(ISBLANK('Q 5'!C85),"",IF('Q 5'!C85="&lt;please select&gt;","",'Q 5'!C85))</f>
        <v>1A4a - Energy - Commercial/Institutional</v>
      </c>
    </row>
    <row r="406" spans="1:11" x14ac:dyDescent="0.3">
      <c r="A406" t="s">
        <v>1846</v>
      </c>
      <c r="B406" t="s">
        <v>1849</v>
      </c>
      <c r="C406">
        <v>18</v>
      </c>
      <c r="D406" t="s">
        <v>1447</v>
      </c>
      <c r="E406" t="s">
        <v>1850</v>
      </c>
      <c r="F406" t="s">
        <v>1737</v>
      </c>
      <c r="K406" t="str">
        <f>IF(ISBLANK('Q 5'!C86),"",IF('Q 5'!C86="&lt;please select&gt;","",'Q 5'!C86))</f>
        <v>1A4c - Energy - Agriculture/Forestry/Fishing</v>
      </c>
    </row>
    <row r="407" spans="1:11" x14ac:dyDescent="0.3">
      <c r="A407" t="s">
        <v>1846</v>
      </c>
      <c r="B407" t="s">
        <v>1849</v>
      </c>
      <c r="C407">
        <v>19</v>
      </c>
      <c r="D407" t="s">
        <v>1447</v>
      </c>
      <c r="E407" t="s">
        <v>1850</v>
      </c>
      <c r="F407" t="s">
        <v>1737</v>
      </c>
      <c r="K407" t="str">
        <f>IF(ISBLANK('Q 5'!C87),"",IF('Q 5'!C87="&lt;please select&gt;","",'Q 5'!C87))</f>
        <v>1B2b - Energy - Fugitive - Natural Gas</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2A4 - Process - Other Process Uses of Carbonates</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2C1 - Process - Iron and Steel Production</v>
      </c>
    </row>
    <row r="524" spans="1:11" x14ac:dyDescent="0.3">
      <c r="A524" t="s">
        <v>1846</v>
      </c>
      <c r="B524" t="s">
        <v>1849</v>
      </c>
      <c r="C524">
        <v>6</v>
      </c>
      <c r="D524" t="s">
        <v>1447</v>
      </c>
      <c r="E524" t="s">
        <v>1851</v>
      </c>
      <c r="F524" t="s">
        <v>1737</v>
      </c>
      <c r="K524" t="str">
        <f>IF(ISBLANK('Q 5'!E74),"",IF('Q 5'!E74="&lt;please select&gt;","",'Q 5'!E74))</f>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2A4 - Process - Other Process Uses of Carbonates</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2A1 - Process - Cement Production</v>
      </c>
    </row>
    <row r="530" spans="1:11" x14ac:dyDescent="0.3">
      <c r="A530" t="s">
        <v>1846</v>
      </c>
      <c r="B530" t="s">
        <v>1849</v>
      </c>
      <c r="C530">
        <v>12</v>
      </c>
      <c r="D530" t="s">
        <v>1447</v>
      </c>
      <c r="E530" t="s">
        <v>1851</v>
      </c>
      <c r="F530" t="s">
        <v>1737</v>
      </c>
      <c r="K530" t="str">
        <f>IF(ISBLANK('Q 5'!E80),"",IF('Q 5'!E80="&lt;please select&gt;","",'Q 5'!E80))</f>
        <v>2A2 - Process - Lime Production</v>
      </c>
    </row>
    <row r="531" spans="1:11" x14ac:dyDescent="0.3">
      <c r="A531" t="s">
        <v>1846</v>
      </c>
      <c r="B531" t="s">
        <v>1849</v>
      </c>
      <c r="C531">
        <v>13</v>
      </c>
      <c r="D531" t="s">
        <v>1447</v>
      </c>
      <c r="E531" t="s">
        <v>1851</v>
      </c>
      <c r="F531" t="s">
        <v>1737</v>
      </c>
      <c r="K531" t="str">
        <f>IF(ISBLANK('Q 5'!E81),"",IF('Q 5'!E81="&lt;please select&gt;","",'Q 5'!E81))</f>
        <v>2A3 - Process - Glass production</v>
      </c>
    </row>
    <row r="532" spans="1:11" x14ac:dyDescent="0.3">
      <c r="A532" t="s">
        <v>1846</v>
      </c>
      <c r="B532" t="s">
        <v>1849</v>
      </c>
      <c r="C532">
        <v>14</v>
      </c>
      <c r="D532" t="s">
        <v>1447</v>
      </c>
      <c r="E532" t="s">
        <v>1851</v>
      </c>
      <c r="F532" t="s">
        <v>1737</v>
      </c>
      <c r="K532" t="str">
        <f>IF(ISBLANK('Q 5'!E82),"",IF('Q 5'!E82="&lt;please select&gt;","",'Q 5'!E82))</f>
        <v>2A4 - Process - Other Process Uses of Carbonates</v>
      </c>
    </row>
    <row r="533" spans="1:11" x14ac:dyDescent="0.3">
      <c r="A533" t="s">
        <v>1846</v>
      </c>
      <c r="B533" t="s">
        <v>1849</v>
      </c>
      <c r="C533">
        <v>15</v>
      </c>
      <c r="D533" t="s">
        <v>1447</v>
      </c>
      <c r="E533" t="s">
        <v>1851</v>
      </c>
      <c r="F533" t="s">
        <v>1737</v>
      </c>
      <c r="K533" t="str">
        <f>IF(ISBLANK('Q 5'!E83),"",IF('Q 5'!E83="&lt;please select&gt;","",'Q 5'!E83))</f>
        <v>2D3 - Process - Solvents</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5529660.87</v>
      </c>
    </row>
    <row r="650" spans="1:11" x14ac:dyDescent="0.3">
      <c r="A650" t="s">
        <v>1846</v>
      </c>
      <c r="B650" t="s">
        <v>1849</v>
      </c>
      <c r="C650">
        <v>2</v>
      </c>
      <c r="D650" t="s">
        <v>1447</v>
      </c>
      <c r="E650" t="s">
        <v>1852</v>
      </c>
      <c r="F650" t="s">
        <v>1806</v>
      </c>
      <c r="I650" t="str">
        <f>IF(ISBLANK('Q 5'!G70),"",IF('Q 5'!G70="&lt;please select&gt;","",'Q 5'!G70))</f>
        <v>11712509.08</v>
      </c>
    </row>
    <row r="651" spans="1:11" x14ac:dyDescent="0.3">
      <c r="A651" t="s">
        <v>1846</v>
      </c>
      <c r="B651" t="s">
        <v>1849</v>
      </c>
      <c r="C651">
        <v>3</v>
      </c>
      <c r="D651" t="s">
        <v>1447</v>
      </c>
      <c r="E651" t="s">
        <v>1852</v>
      </c>
      <c r="F651" t="s">
        <v>1806</v>
      </c>
      <c r="I651" t="str">
        <f>IF(ISBLANK('Q 5'!G71),"",IF('Q 5'!G71="&lt;please select&gt;","",'Q 5'!G71))</f>
        <v>948300.08</v>
      </c>
    </row>
    <row r="652" spans="1:11" x14ac:dyDescent="0.3">
      <c r="A652" t="s">
        <v>1846</v>
      </c>
      <c r="B652" t="s">
        <v>1849</v>
      </c>
      <c r="C652">
        <v>4</v>
      </c>
      <c r="D652" t="s">
        <v>1447</v>
      </c>
      <c r="E652" t="s">
        <v>1852</v>
      </c>
      <c r="F652" t="s">
        <v>1806</v>
      </c>
      <c r="I652" t="str">
        <f>IF(ISBLANK('Q 5'!G72),"",IF('Q 5'!G72="&lt;please select&gt;","",'Q 5'!G72))</f>
        <v>893884.43</v>
      </c>
    </row>
    <row r="653" spans="1:11" x14ac:dyDescent="0.3">
      <c r="A653" t="s">
        <v>1846</v>
      </c>
      <c r="B653" t="s">
        <v>1849</v>
      </c>
      <c r="C653">
        <v>5</v>
      </c>
      <c r="D653" t="s">
        <v>1447</v>
      </c>
      <c r="E653" t="s">
        <v>1852</v>
      </c>
      <c r="F653" t="s">
        <v>1806</v>
      </c>
      <c r="I653" t="str">
        <f>IF(ISBLANK('Q 5'!G73),"",IF('Q 5'!G73="&lt;please select&gt;","",'Q 5'!G73))</f>
        <v>96742.73</v>
      </c>
    </row>
    <row r="654" spans="1:11" x14ac:dyDescent="0.3">
      <c r="A654" t="s">
        <v>1846</v>
      </c>
      <c r="B654" t="s">
        <v>1849</v>
      </c>
      <c r="C654">
        <v>6</v>
      </c>
      <c r="D654" t="s">
        <v>1447</v>
      </c>
      <c r="E654" t="s">
        <v>1852</v>
      </c>
      <c r="F654" t="s">
        <v>1806</v>
      </c>
      <c r="I654" t="str">
        <f>IF(ISBLANK('Q 5'!G74),"",IF('Q 5'!G74="&lt;please select&gt;","",'Q 5'!G74))</f>
        <v>116560.01</v>
      </c>
    </row>
    <row r="655" spans="1:11" x14ac:dyDescent="0.3">
      <c r="A655" t="s">
        <v>1846</v>
      </c>
      <c r="B655" t="s">
        <v>1849</v>
      </c>
      <c r="C655">
        <v>7</v>
      </c>
      <c r="D655" t="s">
        <v>1447</v>
      </c>
      <c r="E655" t="s">
        <v>1852</v>
      </c>
      <c r="F655" t="s">
        <v>1806</v>
      </c>
      <c r="I655" t="str">
        <f>IF(ISBLANK('Q 5'!G75),"",IF('Q 5'!G75="&lt;please select&gt;","",'Q 5'!G75))</f>
        <v>71376.42</v>
      </c>
    </row>
    <row r="656" spans="1:11" x14ac:dyDescent="0.3">
      <c r="A656" t="s">
        <v>1846</v>
      </c>
      <c r="B656" t="s">
        <v>1849</v>
      </c>
      <c r="C656">
        <v>8</v>
      </c>
      <c r="D656" t="s">
        <v>1447</v>
      </c>
      <c r="E656" t="s">
        <v>1852</v>
      </c>
      <c r="F656" t="s">
        <v>1806</v>
      </c>
      <c r="I656" t="str">
        <f>IF(ISBLANK('Q 5'!G76),"",IF('Q 5'!G76="&lt;please select&gt;","",'Q 5'!G76))</f>
        <v>870102.1</v>
      </c>
    </row>
    <row r="657" spans="1:9" x14ac:dyDescent="0.3">
      <c r="A657" t="s">
        <v>1846</v>
      </c>
      <c r="B657" t="s">
        <v>1849</v>
      </c>
      <c r="C657">
        <v>9</v>
      </c>
      <c r="D657" t="s">
        <v>1447</v>
      </c>
      <c r="E657" t="s">
        <v>1852</v>
      </c>
      <c r="F657" t="s">
        <v>1806</v>
      </c>
      <c r="I657" t="str">
        <f>IF(ISBLANK('Q 5'!G77),"",IF('Q 5'!G77="&lt;please select&gt;","",'Q 5'!G77))</f>
        <v>68608.75</v>
      </c>
    </row>
    <row r="658" spans="1:9" x14ac:dyDescent="0.3">
      <c r="A658" t="s">
        <v>1846</v>
      </c>
      <c r="B658" t="s">
        <v>1849</v>
      </c>
      <c r="C658">
        <v>10</v>
      </c>
      <c r="D658" t="s">
        <v>1447</v>
      </c>
      <c r="E658" t="s">
        <v>1852</v>
      </c>
      <c r="F658" t="s">
        <v>1806</v>
      </c>
      <c r="I658" t="str">
        <f>IF(ISBLANK('Q 5'!G78),"",IF('Q 5'!G78="&lt;please select&gt;","",'Q 5'!G78))</f>
        <v>38203.41</v>
      </c>
    </row>
    <row r="659" spans="1:9" x14ac:dyDescent="0.3">
      <c r="A659" t="s">
        <v>1846</v>
      </c>
      <c r="B659" t="s">
        <v>1849</v>
      </c>
      <c r="C659">
        <v>11</v>
      </c>
      <c r="D659" t="s">
        <v>1447</v>
      </c>
      <c r="E659" t="s">
        <v>1852</v>
      </c>
      <c r="F659" t="s">
        <v>1806</v>
      </c>
      <c r="I659" t="str">
        <f>IF(ISBLANK('Q 5'!G79),"",IF('Q 5'!G79="&lt;please select&gt;","",'Q 5'!G79))</f>
        <v>2441773.81</v>
      </c>
    </row>
    <row r="660" spans="1:9" x14ac:dyDescent="0.3">
      <c r="A660" t="s">
        <v>1846</v>
      </c>
      <c r="B660" t="s">
        <v>1849</v>
      </c>
      <c r="C660">
        <v>12</v>
      </c>
      <c r="D660" t="s">
        <v>1447</v>
      </c>
      <c r="E660" t="s">
        <v>1852</v>
      </c>
      <c r="F660" t="s">
        <v>1806</v>
      </c>
      <c r="I660" t="str">
        <f>IF(ISBLANK('Q 5'!G80),"",IF('Q 5'!G80="&lt;please select&gt;","",'Q 5'!G80))</f>
        <v>46136.29</v>
      </c>
    </row>
    <row r="661" spans="1:9" x14ac:dyDescent="0.3">
      <c r="A661" t="s">
        <v>1846</v>
      </c>
      <c r="B661" t="s">
        <v>1849</v>
      </c>
      <c r="C661">
        <v>13</v>
      </c>
      <c r="D661" t="s">
        <v>1447</v>
      </c>
      <c r="E661" t="s">
        <v>1852</v>
      </c>
      <c r="F661" t="s">
        <v>1806</v>
      </c>
      <c r="I661" t="str">
        <f>IF(ISBLANK('Q 5'!G81),"",IF('Q 5'!G81="&lt;please select&gt;","",'Q 5'!G81))</f>
        <v>64156.55</v>
      </c>
    </row>
    <row r="662" spans="1:9" x14ac:dyDescent="0.3">
      <c r="A662" t="s">
        <v>1846</v>
      </c>
      <c r="B662" t="s">
        <v>1849</v>
      </c>
      <c r="C662">
        <v>14</v>
      </c>
      <c r="D662" t="s">
        <v>1447</v>
      </c>
      <c r="E662" t="s">
        <v>1852</v>
      </c>
      <c r="F662" t="s">
        <v>1806</v>
      </c>
      <c r="I662" t="str">
        <f>IF(ISBLANK('Q 5'!G82),"",IF('Q 5'!G82="&lt;please select&gt;","",'Q 5'!G82))</f>
        <v>75922.11</v>
      </c>
    </row>
    <row r="663" spans="1:9" x14ac:dyDescent="0.3">
      <c r="A663" t="s">
        <v>1846</v>
      </c>
      <c r="B663" t="s">
        <v>1849</v>
      </c>
      <c r="C663">
        <v>15</v>
      </c>
      <c r="D663" t="s">
        <v>1447</v>
      </c>
      <c r="E663" t="s">
        <v>1852</v>
      </c>
      <c r="F663" t="s">
        <v>1806</v>
      </c>
      <c r="I663" t="str">
        <f>IF(ISBLANK('Q 5'!G83),"",IF('Q 5'!G83="&lt;please select&gt;","",'Q 5'!G83))</f>
        <v>280888.89</v>
      </c>
    </row>
    <row r="664" spans="1:9" x14ac:dyDescent="0.3">
      <c r="A664" t="s">
        <v>1846</v>
      </c>
      <c r="B664" t="s">
        <v>1849</v>
      </c>
      <c r="C664">
        <v>16</v>
      </c>
      <c r="D664" t="s">
        <v>1447</v>
      </c>
      <c r="E664" t="s">
        <v>1852</v>
      </c>
      <c r="F664" t="s">
        <v>1806</v>
      </c>
      <c r="I664" t="str">
        <f>IF(ISBLANK('Q 5'!G84),"",IF('Q 5'!G84="&lt;please select&gt;","",'Q 5'!G84))</f>
        <v>87585.54</v>
      </c>
    </row>
    <row r="665" spans="1:9" x14ac:dyDescent="0.3">
      <c r="A665" t="s">
        <v>1846</v>
      </c>
      <c r="B665" t="s">
        <v>1849</v>
      </c>
      <c r="C665">
        <v>17</v>
      </c>
      <c r="D665" t="s">
        <v>1447</v>
      </c>
      <c r="E665" t="s">
        <v>1852</v>
      </c>
      <c r="F665" t="s">
        <v>1806</v>
      </c>
      <c r="I665" t="str">
        <f>IF(ISBLANK('Q 5'!G85),"",IF('Q 5'!G85="&lt;please select&gt;","",'Q 5'!G85))</f>
        <v>2763.35</v>
      </c>
    </row>
    <row r="666" spans="1:9" x14ac:dyDescent="0.3">
      <c r="A666" t="s">
        <v>1846</v>
      </c>
      <c r="B666" t="s">
        <v>1849</v>
      </c>
      <c r="C666">
        <v>18</v>
      </c>
      <c r="D666" t="s">
        <v>1447</v>
      </c>
      <c r="E666" t="s">
        <v>1852</v>
      </c>
      <c r="F666" t="s">
        <v>1806</v>
      </c>
      <c r="I666" t="str">
        <f>IF(ISBLANK('Q 5'!G86),"",IF('Q 5'!G86="&lt;please select&gt;","",'Q 5'!G86))</f>
        <v>23758.57</v>
      </c>
    </row>
    <row r="667" spans="1:9" x14ac:dyDescent="0.3">
      <c r="A667" t="s">
        <v>1846</v>
      </c>
      <c r="B667" t="s">
        <v>1849</v>
      </c>
      <c r="C667">
        <v>19</v>
      </c>
      <c r="D667" t="s">
        <v>1447</v>
      </c>
      <c r="E667" t="s">
        <v>1852</v>
      </c>
      <c r="F667" t="s">
        <v>1806</v>
      </c>
      <c r="I667" t="str">
        <f>IF(ISBLANK('Q 5'!G87),"",IF('Q 5'!G87="&lt;please select&gt;","",'Q 5'!G87))</f>
        <v>110639.51</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5529660.87</v>
      </c>
    </row>
    <row r="780" spans="1:9" x14ac:dyDescent="0.3">
      <c r="A780" t="s">
        <v>1846</v>
      </c>
      <c r="B780" t="s">
        <v>1849</v>
      </c>
      <c r="C780">
        <v>2</v>
      </c>
      <c r="D780" t="s">
        <v>1447</v>
      </c>
      <c r="E780" t="s">
        <v>1853</v>
      </c>
      <c r="F780" t="s">
        <v>1806</v>
      </c>
      <c r="I780" t="str">
        <f>IF(ISBLANK('Q 5'!H70),"",IF('Q 5'!H70="&lt;please select&gt;","",'Q 5'!H70))</f>
        <v>11706648.4</v>
      </c>
    </row>
    <row r="781" spans="1:9" x14ac:dyDescent="0.3">
      <c r="A781" t="s">
        <v>1846</v>
      </c>
      <c r="B781" t="s">
        <v>1849</v>
      </c>
      <c r="C781">
        <v>3</v>
      </c>
      <c r="D781" t="s">
        <v>1447</v>
      </c>
      <c r="E781" t="s">
        <v>1853</v>
      </c>
      <c r="F781" t="s">
        <v>1806</v>
      </c>
      <c r="I781" t="str">
        <f>IF(ISBLANK('Q 5'!H71),"",IF('Q 5'!H71="&lt;please select&gt;","",'Q 5'!H71))</f>
        <v>948300.08</v>
      </c>
    </row>
    <row r="782" spans="1:9" x14ac:dyDescent="0.3">
      <c r="A782" t="s">
        <v>1846</v>
      </c>
      <c r="B782" t="s">
        <v>1849</v>
      </c>
      <c r="C782">
        <v>4</v>
      </c>
      <c r="D782" t="s">
        <v>1447</v>
      </c>
      <c r="E782" t="s">
        <v>1853</v>
      </c>
      <c r="F782" t="s">
        <v>1806</v>
      </c>
      <c r="I782" t="str">
        <f>IF(ISBLANK('Q 5'!H72),"",IF('Q 5'!H72="&lt;please select&gt;","",'Q 5'!H72))</f>
        <v>893884.43</v>
      </c>
    </row>
    <row r="783" spans="1:9" x14ac:dyDescent="0.3">
      <c r="A783" t="s">
        <v>1846</v>
      </c>
      <c r="B783" t="s">
        <v>1849</v>
      </c>
      <c r="C783">
        <v>5</v>
      </c>
      <c r="D783" t="s">
        <v>1447</v>
      </c>
      <c r="E783" t="s">
        <v>1853</v>
      </c>
      <c r="F783" t="s">
        <v>1806</v>
      </c>
      <c r="I783" t="str">
        <f>IF(ISBLANK('Q 5'!H73),"",IF('Q 5'!H73="&lt;please select&gt;","",'Q 5'!H73))</f>
        <v>96742.73</v>
      </c>
    </row>
    <row r="784" spans="1:9" x14ac:dyDescent="0.3">
      <c r="A784" t="s">
        <v>1846</v>
      </c>
      <c r="B784" t="s">
        <v>1849</v>
      </c>
      <c r="C784">
        <v>6</v>
      </c>
      <c r="D784" t="s">
        <v>1447</v>
      </c>
      <c r="E784" t="s">
        <v>1853</v>
      </c>
      <c r="F784" t="s">
        <v>1806</v>
      </c>
      <c r="I784" t="str">
        <f>IF(ISBLANK('Q 5'!H74),"",IF('Q 5'!H74="&lt;please select&gt;","",'Q 5'!H74))</f>
        <v>116560.01</v>
      </c>
    </row>
    <row r="785" spans="1:9" x14ac:dyDescent="0.3">
      <c r="A785" t="s">
        <v>1846</v>
      </c>
      <c r="B785" t="s">
        <v>1849</v>
      </c>
      <c r="C785">
        <v>7</v>
      </c>
      <c r="D785" t="s">
        <v>1447</v>
      </c>
      <c r="E785" t="s">
        <v>1853</v>
      </c>
      <c r="F785" t="s">
        <v>1806</v>
      </c>
      <c r="I785" t="str">
        <f>IF(ISBLANK('Q 5'!H75),"",IF('Q 5'!H75="&lt;please select&gt;","",'Q 5'!H75))</f>
        <v>71376.42</v>
      </c>
    </row>
    <row r="786" spans="1:9" x14ac:dyDescent="0.3">
      <c r="A786" t="s">
        <v>1846</v>
      </c>
      <c r="B786" t="s">
        <v>1849</v>
      </c>
      <c r="C786">
        <v>8</v>
      </c>
      <c r="D786" t="s">
        <v>1447</v>
      </c>
      <c r="E786" t="s">
        <v>1853</v>
      </c>
      <c r="F786" t="s">
        <v>1806</v>
      </c>
      <c r="I786" t="str">
        <f>IF(ISBLANK('Q 5'!H76),"",IF('Q 5'!H76="&lt;please select&gt;","",'Q 5'!H76))</f>
        <v>870102.1</v>
      </c>
    </row>
    <row r="787" spans="1:9" x14ac:dyDescent="0.3">
      <c r="A787" t="s">
        <v>1846</v>
      </c>
      <c r="B787" t="s">
        <v>1849</v>
      </c>
      <c r="C787">
        <v>9</v>
      </c>
      <c r="D787" t="s">
        <v>1447</v>
      </c>
      <c r="E787" t="s">
        <v>1853</v>
      </c>
      <c r="F787" t="s">
        <v>1806</v>
      </c>
      <c r="I787" t="str">
        <f>IF(ISBLANK('Q 5'!H77),"",IF('Q 5'!H77="&lt;please select&gt;","",'Q 5'!H77))</f>
        <v>67572.15</v>
      </c>
    </row>
    <row r="788" spans="1:9" x14ac:dyDescent="0.3">
      <c r="A788" t="s">
        <v>1846</v>
      </c>
      <c r="B788" t="s">
        <v>1849</v>
      </c>
      <c r="C788">
        <v>10</v>
      </c>
      <c r="D788" t="s">
        <v>1447</v>
      </c>
      <c r="E788" t="s">
        <v>1853</v>
      </c>
      <c r="F788" t="s">
        <v>1806</v>
      </c>
      <c r="I788" t="str">
        <f>IF(ISBLANK('Q 5'!H78),"",IF('Q 5'!H78="&lt;please select&gt;","",'Q 5'!H78))</f>
        <v>38203.41</v>
      </c>
    </row>
    <row r="789" spans="1:9" x14ac:dyDescent="0.3">
      <c r="A789" t="s">
        <v>1846</v>
      </c>
      <c r="B789" t="s">
        <v>1849</v>
      </c>
      <c r="C789">
        <v>11</v>
      </c>
      <c r="D789" t="s">
        <v>1447</v>
      </c>
      <c r="E789" t="s">
        <v>1853</v>
      </c>
      <c r="F789" t="s">
        <v>1806</v>
      </c>
      <c r="I789" t="str">
        <f>IF(ISBLANK('Q 5'!H79),"",IF('Q 5'!H79="&lt;please select&gt;","",'Q 5'!H79))</f>
        <v>1227164.94</v>
      </c>
    </row>
    <row r="790" spans="1:9" x14ac:dyDescent="0.3">
      <c r="A790" t="s">
        <v>1846</v>
      </c>
      <c r="B790" t="s">
        <v>1849</v>
      </c>
      <c r="C790">
        <v>12</v>
      </c>
      <c r="D790" t="s">
        <v>1447</v>
      </c>
      <c r="E790" t="s">
        <v>1853</v>
      </c>
      <c r="F790" t="s">
        <v>1806</v>
      </c>
      <c r="I790" t="str">
        <f>IF(ISBLANK('Q 5'!H80),"",IF('Q 5'!H80="&lt;please select&gt;","",'Q 5'!H80))</f>
        <v>22062.71</v>
      </c>
    </row>
    <row r="791" spans="1:9" x14ac:dyDescent="0.3">
      <c r="A791" t="s">
        <v>1846</v>
      </c>
      <c r="B791" t="s">
        <v>1849</v>
      </c>
      <c r="C791">
        <v>13</v>
      </c>
      <c r="D791" t="s">
        <v>1447</v>
      </c>
      <c r="E791" t="s">
        <v>1853</v>
      </c>
      <c r="F791" t="s">
        <v>1806</v>
      </c>
      <c r="I791" t="str">
        <f>IF(ISBLANK('Q 5'!H81),"",IF('Q 5'!H81="&lt;please select&gt;","",'Q 5'!H81))</f>
        <v>52949.8</v>
      </c>
    </row>
    <row r="792" spans="1:9" x14ac:dyDescent="0.3">
      <c r="A792" t="s">
        <v>1846</v>
      </c>
      <c r="B792" t="s">
        <v>1849</v>
      </c>
      <c r="C792">
        <v>14</v>
      </c>
      <c r="D792" t="s">
        <v>1447</v>
      </c>
      <c r="E792" t="s">
        <v>1853</v>
      </c>
      <c r="F792" t="s">
        <v>1806</v>
      </c>
      <c r="I792" t="str">
        <f>IF(ISBLANK('Q 5'!H82),"",IF('Q 5'!H82="&lt;please select&gt;","",'Q 5'!H82))</f>
        <v>70314.12</v>
      </c>
    </row>
    <row r="793" spans="1:9" x14ac:dyDescent="0.3">
      <c r="A793" t="s">
        <v>1846</v>
      </c>
      <c r="B793" t="s">
        <v>1849</v>
      </c>
      <c r="C793">
        <v>15</v>
      </c>
      <c r="D793" t="s">
        <v>1447</v>
      </c>
      <c r="E793" t="s">
        <v>1853</v>
      </c>
      <c r="F793" t="s">
        <v>1806</v>
      </c>
      <c r="I793" t="str">
        <f>IF(ISBLANK('Q 5'!H83),"",IF('Q 5'!H83="&lt;please select&gt;","",'Q 5'!H83))</f>
        <v>227573.23</v>
      </c>
    </row>
    <row r="794" spans="1:9" x14ac:dyDescent="0.3">
      <c r="A794" t="s">
        <v>1846</v>
      </c>
      <c r="B794" t="s">
        <v>1849</v>
      </c>
      <c r="C794">
        <v>16</v>
      </c>
      <c r="D794" t="s">
        <v>1447</v>
      </c>
      <c r="E794" t="s">
        <v>1853</v>
      </c>
      <c r="F794" t="s">
        <v>1806</v>
      </c>
      <c r="I794" t="str">
        <f>IF(ISBLANK('Q 5'!H84),"",IF('Q 5'!H84="&lt;please select&gt;","",'Q 5'!H84))</f>
        <v>87585.54</v>
      </c>
    </row>
    <row r="795" spans="1:9" x14ac:dyDescent="0.3">
      <c r="A795" t="s">
        <v>1846</v>
      </c>
      <c r="B795" t="s">
        <v>1849</v>
      </c>
      <c r="C795">
        <v>17</v>
      </c>
      <c r="D795" t="s">
        <v>1447</v>
      </c>
      <c r="E795" t="s">
        <v>1853</v>
      </c>
      <c r="F795" t="s">
        <v>1806</v>
      </c>
      <c r="I795" t="str">
        <f>IF(ISBLANK('Q 5'!H85),"",IF('Q 5'!H85="&lt;please select&gt;","",'Q 5'!H85))</f>
        <v>2763.35</v>
      </c>
    </row>
    <row r="796" spans="1:9" x14ac:dyDescent="0.3">
      <c r="A796" t="s">
        <v>1846</v>
      </c>
      <c r="B796" t="s">
        <v>1849</v>
      </c>
      <c r="C796">
        <v>18</v>
      </c>
      <c r="D796" t="s">
        <v>1447</v>
      </c>
      <c r="E796" t="s">
        <v>1853</v>
      </c>
      <c r="F796" t="s">
        <v>1806</v>
      </c>
      <c r="I796" t="str">
        <f>IF(ISBLANK('Q 5'!H86),"",IF('Q 5'!H86="&lt;please select&gt;","",'Q 5'!H86))</f>
        <v>23758.57</v>
      </c>
    </row>
    <row r="797" spans="1:9" x14ac:dyDescent="0.3">
      <c r="A797" t="s">
        <v>1846</v>
      </c>
      <c r="B797" t="s">
        <v>1849</v>
      </c>
      <c r="C797">
        <v>19</v>
      </c>
      <c r="D797" t="s">
        <v>1447</v>
      </c>
      <c r="E797" t="s">
        <v>1853</v>
      </c>
      <c r="F797" t="s">
        <v>1806</v>
      </c>
      <c r="I797" t="str">
        <f>IF(ISBLANK('Q 5'!H87),"",IF('Q 5'!H87="&lt;please select&gt;","",'Q 5'!H87))</f>
        <v>110639.51</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0</v>
      </c>
    </row>
    <row r="910" spans="1:9" x14ac:dyDescent="0.3">
      <c r="A910" t="s">
        <v>1846</v>
      </c>
      <c r="B910" t="s">
        <v>1849</v>
      </c>
      <c r="C910">
        <v>2</v>
      </c>
      <c r="D910" t="s">
        <v>1447</v>
      </c>
      <c r="E910" t="s">
        <v>1854</v>
      </c>
      <c r="F910" t="s">
        <v>1806</v>
      </c>
      <c r="I910" t="str">
        <f>IF(ISBLANK('Q 5'!I70),"",IF('Q 5'!I70="&lt;please select&gt;","",'Q 5'!I70))</f>
        <v>5860.684</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0</v>
      </c>
    </row>
    <row r="913" spans="1:9" x14ac:dyDescent="0.3">
      <c r="A913" t="s">
        <v>1846</v>
      </c>
      <c r="B913" t="s">
        <v>1849</v>
      </c>
      <c r="C913">
        <v>5</v>
      </c>
      <c r="D913" t="s">
        <v>1447</v>
      </c>
      <c r="E913" t="s">
        <v>1854</v>
      </c>
      <c r="F913" t="s">
        <v>1806</v>
      </c>
      <c r="I913" t="str">
        <f>IF(ISBLANK('Q 5'!I73),"",IF('Q 5'!I73="&lt;please select&gt;","",'Q 5'!I73))</f>
        <v>0</v>
      </c>
    </row>
    <row r="914" spans="1:9" x14ac:dyDescent="0.3">
      <c r="A914" t="s">
        <v>1846</v>
      </c>
      <c r="B914" t="s">
        <v>1849</v>
      </c>
      <c r="C914">
        <v>6</v>
      </c>
      <c r="D914" t="s">
        <v>1447</v>
      </c>
      <c r="E914" t="s">
        <v>1854</v>
      </c>
      <c r="F914" t="s">
        <v>1806</v>
      </c>
      <c r="I914" t="str">
        <f>IF(ISBLANK('Q 5'!I74),"",IF('Q 5'!I74="&lt;please select&gt;","",'Q 5'!I74))</f>
        <v>0</v>
      </c>
    </row>
    <row r="915" spans="1:9" x14ac:dyDescent="0.3">
      <c r="A915" t="s">
        <v>1846</v>
      </c>
      <c r="B915" t="s">
        <v>1849</v>
      </c>
      <c r="C915">
        <v>7</v>
      </c>
      <c r="D915" t="s">
        <v>1447</v>
      </c>
      <c r="E915" t="s">
        <v>1854</v>
      </c>
      <c r="F915" t="s">
        <v>1806</v>
      </c>
      <c r="I915" t="str">
        <f>IF(ISBLANK('Q 5'!I75),"",IF('Q 5'!I75="&lt;please select&gt;","",'Q 5'!I75))</f>
        <v>0</v>
      </c>
    </row>
    <row r="916" spans="1:9" x14ac:dyDescent="0.3">
      <c r="A916" t="s">
        <v>1846</v>
      </c>
      <c r="B916" t="s">
        <v>1849</v>
      </c>
      <c r="C916">
        <v>8</v>
      </c>
      <c r="D916" t="s">
        <v>1447</v>
      </c>
      <c r="E916" t="s">
        <v>1854</v>
      </c>
      <c r="F916" t="s">
        <v>1806</v>
      </c>
      <c r="I916" t="str">
        <f>IF(ISBLANK('Q 5'!I76),"",IF('Q 5'!I76="&lt;please select&gt;","",'Q 5'!I76))</f>
        <v>0</v>
      </c>
    </row>
    <row r="917" spans="1:9" x14ac:dyDescent="0.3">
      <c r="A917" t="s">
        <v>1846</v>
      </c>
      <c r="B917" t="s">
        <v>1849</v>
      </c>
      <c r="C917">
        <v>9</v>
      </c>
      <c r="D917" t="s">
        <v>1447</v>
      </c>
      <c r="E917" t="s">
        <v>1854</v>
      </c>
      <c r="F917" t="s">
        <v>1806</v>
      </c>
      <c r="I917" t="str">
        <f>IF(ISBLANK('Q 5'!I77),"",IF('Q 5'!I77="&lt;please select&gt;","",'Q 5'!I77))</f>
        <v>1036.6</v>
      </c>
    </row>
    <row r="918" spans="1:9" x14ac:dyDescent="0.3">
      <c r="A918" t="s">
        <v>1846</v>
      </c>
      <c r="B918" t="s">
        <v>1849</v>
      </c>
      <c r="C918">
        <v>10</v>
      </c>
      <c r="D918" t="s">
        <v>1447</v>
      </c>
      <c r="E918" t="s">
        <v>1854</v>
      </c>
      <c r="F918" t="s">
        <v>1806</v>
      </c>
      <c r="I918" t="str">
        <f>IF(ISBLANK('Q 5'!I78),"",IF('Q 5'!I78="&lt;please select&gt;","",'Q 5'!I78))</f>
        <v>0</v>
      </c>
    </row>
    <row r="919" spans="1:9" x14ac:dyDescent="0.3">
      <c r="A919" t="s">
        <v>1846</v>
      </c>
      <c r="B919" t="s">
        <v>1849</v>
      </c>
      <c r="C919">
        <v>11</v>
      </c>
      <c r="D919" t="s">
        <v>1447</v>
      </c>
      <c r="E919" t="s">
        <v>1854</v>
      </c>
      <c r="F919" t="s">
        <v>1806</v>
      </c>
      <c r="I919" t="str">
        <f>IF(ISBLANK('Q 5'!I79),"",IF('Q 5'!I79="&lt;please select&gt;","",'Q 5'!I79))</f>
        <v>1214608.87</v>
      </c>
    </row>
    <row r="920" spans="1:9" x14ac:dyDescent="0.3">
      <c r="A920" t="s">
        <v>1846</v>
      </c>
      <c r="B920" t="s">
        <v>1849</v>
      </c>
      <c r="C920">
        <v>12</v>
      </c>
      <c r="D920" t="s">
        <v>1447</v>
      </c>
      <c r="E920" t="s">
        <v>1854</v>
      </c>
      <c r="F920" t="s">
        <v>1806</v>
      </c>
      <c r="I920" t="str">
        <f>IF(ISBLANK('Q 5'!I80),"",IF('Q 5'!I80="&lt;please select&gt;","",'Q 5'!I80))</f>
        <v>24073.58</v>
      </c>
    </row>
    <row r="921" spans="1:9" x14ac:dyDescent="0.3">
      <c r="A921" t="s">
        <v>1846</v>
      </c>
      <c r="B921" t="s">
        <v>1849</v>
      </c>
      <c r="C921">
        <v>13</v>
      </c>
      <c r="D921" t="s">
        <v>1447</v>
      </c>
      <c r="E921" t="s">
        <v>1854</v>
      </c>
      <c r="F921" t="s">
        <v>1806</v>
      </c>
      <c r="I921" t="str">
        <f>IF(ISBLANK('Q 5'!I81),"",IF('Q 5'!I81="&lt;please select&gt;","",'Q 5'!I81))</f>
        <v>11206.75</v>
      </c>
    </row>
    <row r="922" spans="1:9" x14ac:dyDescent="0.3">
      <c r="A922" t="s">
        <v>1846</v>
      </c>
      <c r="B922" t="s">
        <v>1849</v>
      </c>
      <c r="C922">
        <v>14</v>
      </c>
      <c r="D922" t="s">
        <v>1447</v>
      </c>
      <c r="E922" t="s">
        <v>1854</v>
      </c>
      <c r="F922" t="s">
        <v>1806</v>
      </c>
      <c r="I922" t="str">
        <f>IF(ISBLANK('Q 5'!I82),"",IF('Q 5'!I82="&lt;please select&gt;","",'Q 5'!I82))</f>
        <v>5607.99</v>
      </c>
    </row>
    <row r="923" spans="1:9" x14ac:dyDescent="0.3">
      <c r="A923" t="s">
        <v>1846</v>
      </c>
      <c r="B923" t="s">
        <v>1849</v>
      </c>
      <c r="C923">
        <v>15</v>
      </c>
      <c r="D923" t="s">
        <v>1447</v>
      </c>
      <c r="E923" t="s">
        <v>1854</v>
      </c>
      <c r="F923" t="s">
        <v>1806</v>
      </c>
      <c r="I923" t="str">
        <f>IF(ISBLANK('Q 5'!I83),"",IF('Q 5'!I83="&lt;please select&gt;","",'Q 5'!I83))</f>
        <v>53315.66</v>
      </c>
    </row>
    <row r="924" spans="1:9" x14ac:dyDescent="0.3">
      <c r="A924" t="s">
        <v>1846</v>
      </c>
      <c r="B924" t="s">
        <v>1849</v>
      </c>
      <c r="C924">
        <v>16</v>
      </c>
      <c r="D924" t="s">
        <v>1447</v>
      </c>
      <c r="E924" t="s">
        <v>1854</v>
      </c>
      <c r="F924" t="s">
        <v>1806</v>
      </c>
      <c r="I924" t="str">
        <f>IF(ISBLANK('Q 5'!I84),"",IF('Q 5'!I84="&lt;please select&gt;","",'Q 5'!I84))</f>
        <v>0</v>
      </c>
    </row>
    <row r="925" spans="1:9" x14ac:dyDescent="0.3">
      <c r="A925" t="s">
        <v>1846</v>
      </c>
      <c r="B925" t="s">
        <v>1849</v>
      </c>
      <c r="C925">
        <v>17</v>
      </c>
      <c r="D925" t="s">
        <v>1447</v>
      </c>
      <c r="E925" t="s">
        <v>1854</v>
      </c>
      <c r="F925" t="s">
        <v>1806</v>
      </c>
      <c r="I925" t="str">
        <f>IF(ISBLANK('Q 5'!I85),"",IF('Q 5'!I85="&lt;please select&gt;","",'Q 5'!I85))</f>
        <v>0</v>
      </c>
    </row>
    <row r="926" spans="1:9" x14ac:dyDescent="0.3">
      <c r="A926" t="s">
        <v>1846</v>
      </c>
      <c r="B926" t="s">
        <v>1849</v>
      </c>
      <c r="C926">
        <v>18</v>
      </c>
      <c r="D926" t="s">
        <v>1447</v>
      </c>
      <c r="E926" t="s">
        <v>1854</v>
      </c>
      <c r="F926" t="s">
        <v>1806</v>
      </c>
      <c r="I926" t="str">
        <f>IF(ISBLANK('Q 5'!I86),"",IF('Q 5'!I86="&lt;please select&gt;","",'Q 5'!I86))</f>
        <v>0</v>
      </c>
    </row>
    <row r="927" spans="1:9" x14ac:dyDescent="0.3">
      <c r="A927" t="s">
        <v>1846</v>
      </c>
      <c r="B927" t="s">
        <v>1849</v>
      </c>
      <c r="C927">
        <v>19</v>
      </c>
      <c r="D927" t="s">
        <v>1447</v>
      </c>
      <c r="E927" t="s">
        <v>1854</v>
      </c>
      <c r="F927" t="s">
        <v>1806</v>
      </c>
      <c r="I927" t="str">
        <f>IF(ISBLANK('Q 5'!I87),"",IF('Q 5'!I87="&lt;please select&gt;","",'Q 5'!I87))</f>
        <v>0</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Installation with low emissions</v>
      </c>
    </row>
    <row r="1040" spans="1:11" x14ac:dyDescent="0.3">
      <c r="A1040" t="s">
        <v>1847</v>
      </c>
      <c r="B1040" t="s">
        <v>1855</v>
      </c>
      <c r="C1040">
        <v>2</v>
      </c>
      <c r="D1040" t="s">
        <v>1447</v>
      </c>
      <c r="E1040" t="s">
        <v>1856</v>
      </c>
      <c r="F1040" t="s">
        <v>1737</v>
      </c>
      <c r="K1040" t="str">
        <f>IF(ISBLANK('Q 5'!C204),"",IF('Q 5'!C204="&lt;please select&gt;","",'Q 5'!C204))</f>
        <v>Category A installation</v>
      </c>
    </row>
    <row r="1041" spans="1:11" x14ac:dyDescent="0.3">
      <c r="A1041" t="s">
        <v>1847</v>
      </c>
      <c r="B1041" t="s">
        <v>1855</v>
      </c>
      <c r="C1041">
        <v>3</v>
      </c>
      <c r="D1041" t="s">
        <v>1447</v>
      </c>
      <c r="E1041" t="s">
        <v>1856</v>
      </c>
      <c r="F1041" t="s">
        <v>1737</v>
      </c>
      <c r="K1041" t="str">
        <f>IF(ISBLANK('Q 5'!C205),"",IF('Q 5'!C205="&lt;please select&gt;","",'Q 5'!C205))</f>
        <v>Category B installation</v>
      </c>
    </row>
    <row r="1042" spans="1:11" x14ac:dyDescent="0.3">
      <c r="A1042" t="s">
        <v>1847</v>
      </c>
      <c r="B1042" t="s">
        <v>1855</v>
      </c>
      <c r="C1042">
        <v>4</v>
      </c>
      <c r="D1042" t="s">
        <v>1447</v>
      </c>
      <c r="E1042" t="s">
        <v>1856</v>
      </c>
      <c r="F1042" t="s">
        <v>1737</v>
      </c>
      <c r="K1042" t="str">
        <f>IF(ISBLANK('Q 5'!C206),"",IF('Q 5'!C206="&lt;please select&gt;","",'Q 5'!C206))</f>
        <v>Installation with low emissions</v>
      </c>
    </row>
    <row r="1043" spans="1:11" x14ac:dyDescent="0.3">
      <c r="A1043" t="s">
        <v>1847</v>
      </c>
      <c r="B1043" t="s">
        <v>1855</v>
      </c>
      <c r="C1043">
        <v>5</v>
      </c>
      <c r="D1043" t="s">
        <v>1447</v>
      </c>
      <c r="E1043" t="s">
        <v>1856</v>
      </c>
      <c r="F1043" t="s">
        <v>1737</v>
      </c>
      <c r="K1043" t="str">
        <f>IF(ISBLANK('Q 5'!C207),"",IF('Q 5'!C207="&lt;please select&gt;","",'Q 5'!C207))</f>
        <v>Category A installation</v>
      </c>
    </row>
    <row r="1044" spans="1:11" x14ac:dyDescent="0.3">
      <c r="A1044" t="s">
        <v>1847</v>
      </c>
      <c r="B1044" t="s">
        <v>1855</v>
      </c>
      <c r="C1044">
        <v>6</v>
      </c>
      <c r="D1044" t="s">
        <v>1447</v>
      </c>
      <c r="E1044" t="s">
        <v>1856</v>
      </c>
      <c r="F1044" t="s">
        <v>1737</v>
      </c>
      <c r="K1044" t="str">
        <f>IF(ISBLANK('Q 5'!C208),"",IF('Q 5'!C208="&lt;please select&gt;","",'Q 5'!C208))</f>
        <v>Category B installation</v>
      </c>
    </row>
    <row r="1045" spans="1:11" x14ac:dyDescent="0.3">
      <c r="A1045" t="s">
        <v>1847</v>
      </c>
      <c r="B1045" t="s">
        <v>1855</v>
      </c>
      <c r="C1045">
        <v>7</v>
      </c>
      <c r="D1045" t="s">
        <v>1447</v>
      </c>
      <c r="E1045" t="s">
        <v>1856</v>
      </c>
      <c r="F1045" t="s">
        <v>1737</v>
      </c>
      <c r="K1045" t="str">
        <f>IF(ISBLANK('Q 5'!C209),"",IF('Q 5'!C209="&lt;please select&gt;","",'Q 5'!C209))</f>
        <v>Category C installation</v>
      </c>
    </row>
    <row r="1046" spans="1:11" x14ac:dyDescent="0.3">
      <c r="A1046" t="s">
        <v>1847</v>
      </c>
      <c r="B1046" t="s">
        <v>1855</v>
      </c>
      <c r="C1046">
        <v>8</v>
      </c>
      <c r="D1046" t="s">
        <v>1447</v>
      </c>
      <c r="E1046" t="s">
        <v>1856</v>
      </c>
      <c r="F1046" t="s">
        <v>1737</v>
      </c>
      <c r="K1046" t="str">
        <f>IF(ISBLANK('Q 5'!C210),"",IF('Q 5'!C210="&lt;please select&gt;","",'Q 5'!C210))</f>
        <v>Installation with low emissions</v>
      </c>
    </row>
    <row r="1047" spans="1:11" x14ac:dyDescent="0.3">
      <c r="A1047" t="s">
        <v>1847</v>
      </c>
      <c r="B1047" t="s">
        <v>1855</v>
      </c>
      <c r="C1047">
        <v>9</v>
      </c>
      <c r="D1047" t="s">
        <v>1447</v>
      </c>
      <c r="E1047" t="s">
        <v>1856</v>
      </c>
      <c r="F1047" t="s">
        <v>1737</v>
      </c>
      <c r="K1047" t="str">
        <f>IF(ISBLANK('Q 5'!C211),"",IF('Q 5'!C211="&lt;please select&gt;","",'Q 5'!C211))</f>
        <v>Category B installation</v>
      </c>
    </row>
    <row r="1048" spans="1:11" x14ac:dyDescent="0.3">
      <c r="A1048" t="s">
        <v>1847</v>
      </c>
      <c r="B1048" t="s">
        <v>1855</v>
      </c>
      <c r="C1048">
        <v>10</v>
      </c>
      <c r="D1048" t="s">
        <v>1447</v>
      </c>
      <c r="E1048" t="s">
        <v>1856</v>
      </c>
      <c r="F1048" t="s">
        <v>1737</v>
      </c>
      <c r="K1048" t="str">
        <f>IF(ISBLANK('Q 5'!C212),"",IF('Q 5'!C212="&lt;please select&gt;","",'Q 5'!C212))</f>
        <v>Installation with low emissions</v>
      </c>
    </row>
    <row r="1049" spans="1:11" x14ac:dyDescent="0.3">
      <c r="A1049" t="s">
        <v>1847</v>
      </c>
      <c r="B1049" t="s">
        <v>1855</v>
      </c>
      <c r="C1049">
        <v>11</v>
      </c>
      <c r="D1049" t="s">
        <v>1447</v>
      </c>
      <c r="E1049" t="s">
        <v>1856</v>
      </c>
      <c r="F1049" t="s">
        <v>1737</v>
      </c>
      <c r="K1049" t="str">
        <f>IF(ISBLANK('Q 5'!C213),"",IF('Q 5'!C213="&lt;please select&gt;","",'Q 5'!C213))</f>
        <v>Installation with low emissions</v>
      </c>
    </row>
    <row r="1050" spans="1:11" x14ac:dyDescent="0.3">
      <c r="A1050" t="s">
        <v>1847</v>
      </c>
      <c r="B1050" t="s">
        <v>1855</v>
      </c>
      <c r="C1050">
        <v>12</v>
      </c>
      <c r="D1050" t="s">
        <v>1447</v>
      </c>
      <c r="E1050" t="s">
        <v>1856</v>
      </c>
      <c r="F1050" t="s">
        <v>1737</v>
      </c>
      <c r="K1050" t="str">
        <f>IF(ISBLANK('Q 5'!C214),"",IF('Q 5'!C214="&lt;please select&gt;","",'Q 5'!C214))</f>
        <v>Category B installation</v>
      </c>
    </row>
    <row r="1051" spans="1:11" x14ac:dyDescent="0.3">
      <c r="A1051" t="s">
        <v>1847</v>
      </c>
      <c r="B1051" t="s">
        <v>1855</v>
      </c>
      <c r="C1051">
        <v>13</v>
      </c>
      <c r="D1051" t="s">
        <v>1447</v>
      </c>
      <c r="E1051" t="s">
        <v>1856</v>
      </c>
      <c r="F1051" t="s">
        <v>1737</v>
      </c>
      <c r="K1051" t="str">
        <f>IF(ISBLANK('Q 5'!C215),"",IF('Q 5'!C215="&lt;please select&gt;","",'Q 5'!C215))</f>
        <v>Category B installation</v>
      </c>
    </row>
    <row r="1052" spans="1:11" x14ac:dyDescent="0.3">
      <c r="A1052" t="s">
        <v>1847</v>
      </c>
      <c r="B1052" t="s">
        <v>1855</v>
      </c>
      <c r="C1052">
        <v>14</v>
      </c>
      <c r="D1052" t="s">
        <v>1447</v>
      </c>
      <c r="E1052" t="s">
        <v>1856</v>
      </c>
      <c r="F1052" t="s">
        <v>1737</v>
      </c>
      <c r="K1052" t="str">
        <f>IF(ISBLANK('Q 5'!C216),"",IF('Q 5'!C216="&lt;please select&gt;","",'Q 5'!C216))</f>
        <v>Installation with low emissions</v>
      </c>
    </row>
    <row r="1053" spans="1:11" x14ac:dyDescent="0.3">
      <c r="A1053" t="s">
        <v>1847</v>
      </c>
      <c r="B1053" t="s">
        <v>1855</v>
      </c>
      <c r="C1053">
        <v>15</v>
      </c>
      <c r="D1053" t="s">
        <v>1447</v>
      </c>
      <c r="E1053" t="s">
        <v>1856</v>
      </c>
      <c r="F1053" t="s">
        <v>1737</v>
      </c>
      <c r="K1053" t="str">
        <f>IF(ISBLANK('Q 5'!C217),"",IF('Q 5'!C217="&lt;please select&gt;","",'Q 5'!C217))</f>
        <v>Installation with low emissions</v>
      </c>
    </row>
    <row r="1054" spans="1:11" x14ac:dyDescent="0.3">
      <c r="A1054" t="s">
        <v>1847</v>
      </c>
      <c r="B1054" t="s">
        <v>1855</v>
      </c>
      <c r="C1054">
        <v>16</v>
      </c>
      <c r="D1054" t="s">
        <v>1447</v>
      </c>
      <c r="E1054" t="s">
        <v>1856</v>
      </c>
      <c r="F1054" t="s">
        <v>1737</v>
      </c>
      <c r="K1054" t="str">
        <f>IF(ISBLANK('Q 5'!C218),"",IF('Q 5'!C218="&lt;please select&gt;","",'Q 5'!C218))</f>
        <v>Installation with low emissions</v>
      </c>
    </row>
    <row r="1055" spans="1:11" x14ac:dyDescent="0.3">
      <c r="A1055" t="s">
        <v>1847</v>
      </c>
      <c r="B1055" t="s">
        <v>1855</v>
      </c>
      <c r="C1055">
        <v>17</v>
      </c>
      <c r="D1055" t="s">
        <v>1447</v>
      </c>
      <c r="E1055" t="s">
        <v>1856</v>
      </c>
      <c r="F1055" t="s">
        <v>1737</v>
      </c>
      <c r="K1055" t="str">
        <f>IF(ISBLANK('Q 5'!C219),"",IF('Q 5'!C219="&lt;please select&gt;","",'Q 5'!C219))</f>
        <v>Category B installation</v>
      </c>
    </row>
    <row r="1056" spans="1:11" x14ac:dyDescent="0.3">
      <c r="A1056" t="s">
        <v>1847</v>
      </c>
      <c r="B1056" t="s">
        <v>1855</v>
      </c>
      <c r="C1056">
        <v>18</v>
      </c>
      <c r="D1056" t="s">
        <v>1447</v>
      </c>
      <c r="E1056" t="s">
        <v>1856</v>
      </c>
      <c r="F1056" t="s">
        <v>1737</v>
      </c>
      <c r="K1056" t="str">
        <f>IF(ISBLANK('Q 5'!C220),"",IF('Q 5'!C220="&lt;please select&gt;","",'Q 5'!C220))</f>
        <v>Installation with low emissions</v>
      </c>
    </row>
    <row r="1057" spans="1:11" x14ac:dyDescent="0.3">
      <c r="A1057" t="s">
        <v>1847</v>
      </c>
      <c r="B1057" t="s">
        <v>1855</v>
      </c>
      <c r="C1057">
        <v>19</v>
      </c>
      <c r="D1057" t="s">
        <v>1447</v>
      </c>
      <c r="E1057" t="s">
        <v>1856</v>
      </c>
      <c r="F1057" t="s">
        <v>1737</v>
      </c>
      <c r="K1057" t="str">
        <f>IF(ISBLANK('Q 5'!C221),"",IF('Q 5'!C221="&lt;please select&gt;","",'Q 5'!C221))</f>
        <v>Category B installation</v>
      </c>
    </row>
    <row r="1058" spans="1:11" x14ac:dyDescent="0.3">
      <c r="A1058" t="s">
        <v>1847</v>
      </c>
      <c r="B1058" t="s">
        <v>1855</v>
      </c>
      <c r="C1058">
        <v>20</v>
      </c>
      <c r="D1058" t="s">
        <v>1447</v>
      </c>
      <c r="E1058" t="s">
        <v>1856</v>
      </c>
      <c r="F1058" t="s">
        <v>1737</v>
      </c>
      <c r="K1058" t="str">
        <f>IF(ISBLANK('Q 5'!C222),"",IF('Q 5'!C222="&lt;please select&gt;","",'Q 5'!C222))</f>
        <v>Installation with low emissions</v>
      </c>
    </row>
    <row r="1059" spans="1:11" x14ac:dyDescent="0.3">
      <c r="A1059" t="s">
        <v>1847</v>
      </c>
      <c r="B1059" t="s">
        <v>1855</v>
      </c>
      <c r="C1059">
        <v>21</v>
      </c>
      <c r="D1059" t="s">
        <v>1447</v>
      </c>
      <c r="E1059" t="s">
        <v>1856</v>
      </c>
      <c r="F1059" t="s">
        <v>1737</v>
      </c>
      <c r="K1059" t="str">
        <f>IF(ISBLANK('Q 5'!C223),"",IF('Q 5'!C223="&lt;please select&gt;","",'Q 5'!C223))</f>
        <v>Category A installation</v>
      </c>
    </row>
    <row r="1060" spans="1:11" x14ac:dyDescent="0.3">
      <c r="A1060" t="s">
        <v>1847</v>
      </c>
      <c r="B1060" t="s">
        <v>1855</v>
      </c>
      <c r="C1060">
        <v>22</v>
      </c>
      <c r="D1060" t="s">
        <v>1447</v>
      </c>
      <c r="E1060" t="s">
        <v>1856</v>
      </c>
      <c r="F1060" t="s">
        <v>1737</v>
      </c>
      <c r="K1060" t="str">
        <f>IF(ISBLANK('Q 5'!C224),"",IF('Q 5'!C224="&lt;please select&gt;","",'Q 5'!C224))</f>
        <v>Installation with low emissions</v>
      </c>
    </row>
    <row r="1061" spans="1:11" x14ac:dyDescent="0.3">
      <c r="A1061" t="s">
        <v>1847</v>
      </c>
      <c r="B1061" t="s">
        <v>1855</v>
      </c>
      <c r="C1061">
        <v>23</v>
      </c>
      <c r="D1061" t="s">
        <v>1447</v>
      </c>
      <c r="E1061" t="s">
        <v>1856</v>
      </c>
      <c r="F1061" t="s">
        <v>1737</v>
      </c>
      <c r="K1061" t="str">
        <f>IF(ISBLANK('Q 5'!C225),"",IF('Q 5'!C225="&lt;please select&gt;","",'Q 5'!C225))</f>
        <v>Category A installation</v>
      </c>
    </row>
    <row r="1062" spans="1:11" x14ac:dyDescent="0.3">
      <c r="A1062" t="s">
        <v>1847</v>
      </c>
      <c r="B1062" t="s">
        <v>1855</v>
      </c>
      <c r="C1062">
        <v>24</v>
      </c>
      <c r="D1062" t="s">
        <v>1447</v>
      </c>
      <c r="E1062" t="s">
        <v>1856</v>
      </c>
      <c r="F1062" t="s">
        <v>1737</v>
      </c>
      <c r="K1062" t="str">
        <f>IF(ISBLANK('Q 5'!C226),"",IF('Q 5'!C226="&lt;please select&gt;","",'Q 5'!C226))</f>
        <v>Category C installation</v>
      </c>
    </row>
    <row r="1063" spans="1:11" x14ac:dyDescent="0.3">
      <c r="A1063" t="s">
        <v>1847</v>
      </c>
      <c r="B1063" t="s">
        <v>1855</v>
      </c>
      <c r="C1063">
        <v>25</v>
      </c>
      <c r="D1063" t="s">
        <v>1447</v>
      </c>
      <c r="E1063" t="s">
        <v>1856</v>
      </c>
      <c r="F1063" t="s">
        <v>1737</v>
      </c>
      <c r="K1063" t="str">
        <f>IF(ISBLANK('Q 5'!C227),"",IF('Q 5'!C227="&lt;please select&gt;","",'Q 5'!C227))</f>
        <v>Installation with low emissions</v>
      </c>
    </row>
    <row r="1064" spans="1:11" x14ac:dyDescent="0.3">
      <c r="A1064" t="s">
        <v>1847</v>
      </c>
      <c r="B1064" t="s">
        <v>1855</v>
      </c>
      <c r="C1064">
        <v>26</v>
      </c>
      <c r="D1064" t="s">
        <v>1447</v>
      </c>
      <c r="E1064" t="s">
        <v>1856</v>
      </c>
      <c r="F1064" t="s">
        <v>1737</v>
      </c>
      <c r="K1064" t="str">
        <f>IF(ISBLANK('Q 5'!C228),"",IF('Q 5'!C228="&lt;please select&gt;","",'Q 5'!C228))</f>
        <v>Installation with low emissions</v>
      </c>
    </row>
    <row r="1065" spans="1:11" x14ac:dyDescent="0.3">
      <c r="A1065" t="s">
        <v>1847</v>
      </c>
      <c r="B1065" t="s">
        <v>1855</v>
      </c>
      <c r="C1065">
        <v>27</v>
      </c>
      <c r="D1065" t="s">
        <v>1447</v>
      </c>
      <c r="E1065" t="s">
        <v>1856</v>
      </c>
      <c r="F1065" t="s">
        <v>1737</v>
      </c>
      <c r="K1065" t="str">
        <f>IF(ISBLANK('Q 5'!C229),"",IF('Q 5'!C229="&lt;please select&gt;","",'Q 5'!C229))</f>
        <v>Category B installation</v>
      </c>
    </row>
    <row r="1066" spans="1:11" x14ac:dyDescent="0.3">
      <c r="A1066" t="s">
        <v>1847</v>
      </c>
      <c r="B1066" t="s">
        <v>1855</v>
      </c>
      <c r="C1066">
        <v>28</v>
      </c>
      <c r="D1066" t="s">
        <v>1447</v>
      </c>
      <c r="E1066" t="s">
        <v>1856</v>
      </c>
      <c r="F1066" t="s">
        <v>1737</v>
      </c>
      <c r="K1066" t="str">
        <f>IF(ISBLANK('Q 5'!C230),"",IF('Q 5'!C230="&lt;please select&gt;","",'Q 5'!C230))</f>
        <v>Category C installation</v>
      </c>
    </row>
    <row r="1067" spans="1:11" x14ac:dyDescent="0.3">
      <c r="A1067" t="s">
        <v>1847</v>
      </c>
      <c r="B1067" t="s">
        <v>1855</v>
      </c>
      <c r="C1067">
        <v>29</v>
      </c>
      <c r="D1067" t="s">
        <v>1447</v>
      </c>
      <c r="E1067" t="s">
        <v>1856</v>
      </c>
      <c r="F1067" t="s">
        <v>1737</v>
      </c>
      <c r="K1067" t="str">
        <f>IF(ISBLANK('Q 5'!C231),"",IF('Q 5'!C231="&lt;please select&gt;","",'Q 5'!C231))</f>
        <v>Installation with low emissions</v>
      </c>
    </row>
    <row r="1068" spans="1:11" x14ac:dyDescent="0.3">
      <c r="A1068" t="s">
        <v>1847</v>
      </c>
      <c r="B1068" t="s">
        <v>1855</v>
      </c>
      <c r="C1068">
        <v>30</v>
      </c>
      <c r="D1068" t="s">
        <v>1447</v>
      </c>
      <c r="E1068" t="s">
        <v>1856</v>
      </c>
      <c r="F1068" t="s">
        <v>1737</v>
      </c>
      <c r="K1068" t="str">
        <f>IF(ISBLANK('Q 5'!C232),"",IF('Q 5'!C232="&lt;please select&gt;","",'Q 5'!C232))</f>
        <v>Category A installation</v>
      </c>
    </row>
    <row r="1069" spans="1:11" x14ac:dyDescent="0.3">
      <c r="A1069" t="s">
        <v>1847</v>
      </c>
      <c r="B1069" t="s">
        <v>1855</v>
      </c>
      <c r="C1069">
        <v>31</v>
      </c>
      <c r="D1069" t="s">
        <v>1447</v>
      </c>
      <c r="E1069" t="s">
        <v>1856</v>
      </c>
      <c r="F1069" t="s">
        <v>1737</v>
      </c>
      <c r="K1069" t="str">
        <f>IF(ISBLANK('Q 5'!C233),"",IF('Q 5'!C233="&lt;please select&gt;","",'Q 5'!C233))</f>
        <v>Category B installation</v>
      </c>
    </row>
    <row r="1070" spans="1:11" x14ac:dyDescent="0.3">
      <c r="A1070" t="s">
        <v>1847</v>
      </c>
      <c r="B1070" t="s">
        <v>1855</v>
      </c>
      <c r="C1070">
        <v>32</v>
      </c>
      <c r="D1070" t="s">
        <v>1447</v>
      </c>
      <c r="E1070" t="s">
        <v>1856</v>
      </c>
      <c r="F1070" t="s">
        <v>1737</v>
      </c>
      <c r="K1070" t="str">
        <f>IF(ISBLANK('Q 5'!C234),"",IF('Q 5'!C234="&lt;please select&gt;","",'Q 5'!C234))</f>
        <v>Category C installation</v>
      </c>
    </row>
    <row r="1071" spans="1:11" x14ac:dyDescent="0.3">
      <c r="A1071" t="s">
        <v>1847</v>
      </c>
      <c r="B1071" t="s">
        <v>1855</v>
      </c>
      <c r="C1071">
        <v>33</v>
      </c>
      <c r="D1071" t="s">
        <v>1447</v>
      </c>
      <c r="E1071" t="s">
        <v>1856</v>
      </c>
      <c r="F1071" t="s">
        <v>1737</v>
      </c>
      <c r="K1071" t="str">
        <f>IF(ISBLANK('Q 5'!C235),"",IF('Q 5'!C235="&lt;please select&gt;","",'Q 5'!C235))</f>
        <v>Installation with low emissions</v>
      </c>
    </row>
    <row r="1072" spans="1:11" x14ac:dyDescent="0.3">
      <c r="A1072" t="s">
        <v>1847</v>
      </c>
      <c r="B1072" t="s">
        <v>1855</v>
      </c>
      <c r="C1072">
        <v>34</v>
      </c>
      <c r="D1072" t="s">
        <v>1447</v>
      </c>
      <c r="E1072" t="s">
        <v>1856</v>
      </c>
      <c r="F1072" t="s">
        <v>1737</v>
      </c>
      <c r="K1072" t="str">
        <f>IF(ISBLANK('Q 5'!C236),"",IF('Q 5'!C236="&lt;please select&gt;","",'Q 5'!C236))</f>
        <v>Category A installation</v>
      </c>
    </row>
    <row r="1073" spans="1:11" x14ac:dyDescent="0.3">
      <c r="A1073" t="s">
        <v>1847</v>
      </c>
      <c r="B1073" t="s">
        <v>1855</v>
      </c>
      <c r="C1073">
        <v>35</v>
      </c>
      <c r="D1073" t="s">
        <v>1447</v>
      </c>
      <c r="E1073" t="s">
        <v>1856</v>
      </c>
      <c r="F1073" t="s">
        <v>1737</v>
      </c>
      <c r="K1073" t="str">
        <f>IF(ISBLANK('Q 5'!C237),"",IF('Q 5'!C237="&lt;please select&gt;","",'Q 5'!C237))</f>
        <v>Category B installation</v>
      </c>
    </row>
    <row r="1074" spans="1:11" x14ac:dyDescent="0.3">
      <c r="A1074" t="s">
        <v>1847</v>
      </c>
      <c r="B1074" t="s">
        <v>1855</v>
      </c>
      <c r="C1074">
        <v>36</v>
      </c>
      <c r="D1074" t="s">
        <v>1447</v>
      </c>
      <c r="E1074" t="s">
        <v>1856</v>
      </c>
      <c r="F1074" t="s">
        <v>1737</v>
      </c>
      <c r="K1074" t="str">
        <f>IF(ISBLANK('Q 5'!C238),"",IF('Q 5'!C238="&lt;please select&gt;","",'Q 5'!C238))</f>
        <v>Category C installation</v>
      </c>
    </row>
    <row r="1075" spans="1:11" x14ac:dyDescent="0.3">
      <c r="A1075" t="s">
        <v>1847</v>
      </c>
      <c r="B1075" t="s">
        <v>1855</v>
      </c>
      <c r="C1075">
        <v>37</v>
      </c>
      <c r="D1075" t="s">
        <v>1447</v>
      </c>
      <c r="E1075" t="s">
        <v>1856</v>
      </c>
      <c r="F1075" t="s">
        <v>1737</v>
      </c>
      <c r="K1075" t="str">
        <f>IF(ISBLANK('Q 5'!C239),"",IF('Q 5'!C239="&lt;please select&gt;","",'Q 5'!C239))</f>
        <v>Category A installation</v>
      </c>
    </row>
    <row r="1076" spans="1:11" x14ac:dyDescent="0.3">
      <c r="A1076" t="s">
        <v>1847</v>
      </c>
      <c r="B1076" t="s">
        <v>1855</v>
      </c>
      <c r="C1076">
        <v>38</v>
      </c>
      <c r="D1076" t="s">
        <v>1447</v>
      </c>
      <c r="E1076" t="s">
        <v>1856</v>
      </c>
      <c r="F1076" t="s">
        <v>1737</v>
      </c>
      <c r="K1076" t="str">
        <f>IF(ISBLANK('Q 5'!C240),"",IF('Q 5'!C240="&lt;please select&gt;","",'Q 5'!C240))</f>
        <v>Category B installation</v>
      </c>
    </row>
    <row r="1077" spans="1:11" x14ac:dyDescent="0.3">
      <c r="A1077" t="s">
        <v>1847</v>
      </c>
      <c r="B1077" t="s">
        <v>1855</v>
      </c>
      <c r="C1077">
        <v>39</v>
      </c>
      <c r="D1077" t="s">
        <v>1447</v>
      </c>
      <c r="E1077" t="s">
        <v>1856</v>
      </c>
      <c r="F1077" t="s">
        <v>1737</v>
      </c>
      <c r="K1077" t="str">
        <f>IF(ISBLANK('Q 5'!C241),"",IF('Q 5'!C241="&lt;please select&gt;","",'Q 5'!C241))</f>
        <v>Category B installation</v>
      </c>
    </row>
    <row r="1078" spans="1:11" x14ac:dyDescent="0.3">
      <c r="A1078" t="s">
        <v>1847</v>
      </c>
      <c r="B1078" t="s">
        <v>1855</v>
      </c>
      <c r="C1078">
        <v>40</v>
      </c>
      <c r="D1078" t="s">
        <v>1447</v>
      </c>
      <c r="E1078" t="s">
        <v>1856</v>
      </c>
      <c r="F1078" t="s">
        <v>1737</v>
      </c>
      <c r="K1078" t="str">
        <f>IF(ISBLANK('Q 5'!C242),"",IF('Q 5'!C242="&lt;please select&gt;","",'Q 5'!C242))</f>
        <v>Installation with low emissions</v>
      </c>
    </row>
    <row r="1079" spans="1:11" x14ac:dyDescent="0.3">
      <c r="A1079" t="s">
        <v>1847</v>
      </c>
      <c r="B1079" t="s">
        <v>1855</v>
      </c>
      <c r="C1079">
        <v>41</v>
      </c>
      <c r="D1079" t="s">
        <v>1447</v>
      </c>
      <c r="E1079" t="s">
        <v>1856</v>
      </c>
      <c r="F1079" t="s">
        <v>1737</v>
      </c>
      <c r="K1079" t="str">
        <f>IF(ISBLANK('Q 5'!C243),"",IF('Q 5'!C243="&lt;please select&gt;","",'Q 5'!C243))</f>
        <v>Category A installation</v>
      </c>
    </row>
    <row r="1080" spans="1:11" x14ac:dyDescent="0.3">
      <c r="A1080" t="s">
        <v>1847</v>
      </c>
      <c r="B1080" t="s">
        <v>1855</v>
      </c>
      <c r="C1080">
        <v>42</v>
      </c>
      <c r="D1080" t="s">
        <v>1447</v>
      </c>
      <c r="E1080" t="s">
        <v>1856</v>
      </c>
      <c r="F1080" t="s">
        <v>1737</v>
      </c>
      <c r="K1080" t="str">
        <f>IF(ISBLANK('Q 5'!C244),"",IF('Q 5'!C244="&lt;please select&gt;","",'Q 5'!C244))</f>
        <v>Category B installation</v>
      </c>
    </row>
    <row r="1081" spans="1:11" x14ac:dyDescent="0.3">
      <c r="A1081" t="s">
        <v>1847</v>
      </c>
      <c r="B1081" t="s">
        <v>1855</v>
      </c>
      <c r="C1081">
        <v>43</v>
      </c>
      <c r="D1081" t="s">
        <v>1447</v>
      </c>
      <c r="E1081" t="s">
        <v>1856</v>
      </c>
      <c r="F1081" t="s">
        <v>1737</v>
      </c>
      <c r="K1081" t="str">
        <f>IF(ISBLANK('Q 5'!C245),"",IF('Q 5'!C245="&lt;please select&gt;","",'Q 5'!C245))</f>
        <v>Category C installation</v>
      </c>
    </row>
    <row r="1082" spans="1:11" x14ac:dyDescent="0.3">
      <c r="A1082" t="s">
        <v>1847</v>
      </c>
      <c r="B1082" t="s">
        <v>1855</v>
      </c>
      <c r="C1082">
        <v>44</v>
      </c>
      <c r="D1082" t="s">
        <v>1447</v>
      </c>
      <c r="E1082" t="s">
        <v>1856</v>
      </c>
      <c r="F1082" t="s">
        <v>1737</v>
      </c>
      <c r="K1082" t="str">
        <f>IF(ISBLANK('Q 5'!C246),"",IF('Q 5'!C246="&lt;please select&gt;","",'Q 5'!C246))</f>
        <v>Installation with low emissions</v>
      </c>
    </row>
    <row r="1083" spans="1:11" x14ac:dyDescent="0.3">
      <c r="A1083" t="s">
        <v>1847</v>
      </c>
      <c r="B1083" t="s">
        <v>1855</v>
      </c>
      <c r="C1083">
        <v>45</v>
      </c>
      <c r="D1083" t="s">
        <v>1447</v>
      </c>
      <c r="E1083" t="s">
        <v>1856</v>
      </c>
      <c r="F1083" t="s">
        <v>1737</v>
      </c>
      <c r="K1083" t="str">
        <f>IF(ISBLANK('Q 5'!C247),"",IF('Q 5'!C247="&lt;please select&gt;","",'Q 5'!C247))</f>
        <v>Category C installation</v>
      </c>
    </row>
    <row r="1084" spans="1:11" x14ac:dyDescent="0.3">
      <c r="A1084" t="s">
        <v>1847</v>
      </c>
      <c r="B1084" t="s">
        <v>1855</v>
      </c>
      <c r="C1084">
        <v>46</v>
      </c>
      <c r="D1084" t="s">
        <v>1447</v>
      </c>
      <c r="E1084" t="s">
        <v>1856</v>
      </c>
      <c r="F1084" t="s">
        <v>1737</v>
      </c>
      <c r="K1084" t="str">
        <f>IF(ISBLANK('Q 5'!C248),"",IF('Q 5'!C248="&lt;please select&gt;","",'Q 5'!C248))</f>
        <v>Installation with low emissions</v>
      </c>
    </row>
    <row r="1085" spans="1:11" x14ac:dyDescent="0.3">
      <c r="A1085" t="s">
        <v>1847</v>
      </c>
      <c r="B1085" t="s">
        <v>1855</v>
      </c>
      <c r="C1085">
        <v>47</v>
      </c>
      <c r="D1085" t="s">
        <v>1447</v>
      </c>
      <c r="E1085" t="s">
        <v>1856</v>
      </c>
      <c r="F1085" t="s">
        <v>1737</v>
      </c>
      <c r="K1085" t="str">
        <f>IF(ISBLANK('Q 5'!C249),"",IF('Q 5'!C249="&lt;please select&gt;","",'Q 5'!C249))</f>
        <v>Category A installation</v>
      </c>
    </row>
    <row r="1086" spans="1:11" x14ac:dyDescent="0.3">
      <c r="A1086" t="s">
        <v>1847</v>
      </c>
      <c r="B1086" t="s">
        <v>1855</v>
      </c>
      <c r="C1086">
        <v>48</v>
      </c>
      <c r="D1086" t="s">
        <v>1447</v>
      </c>
      <c r="E1086" t="s">
        <v>1856</v>
      </c>
      <c r="F1086" t="s">
        <v>1737</v>
      </c>
      <c r="K1086" t="str">
        <f>IF(ISBLANK('Q 5'!C250),"",IF('Q 5'!C250="&lt;please select&gt;","",'Q 5'!C250))</f>
        <v>Category B installation</v>
      </c>
    </row>
    <row r="1087" spans="1:11" x14ac:dyDescent="0.3">
      <c r="A1087" t="s">
        <v>1847</v>
      </c>
      <c r="B1087" t="s">
        <v>1855</v>
      </c>
      <c r="C1087">
        <v>49</v>
      </c>
      <c r="D1087" t="s">
        <v>1447</v>
      </c>
      <c r="E1087" t="s">
        <v>1856</v>
      </c>
      <c r="F1087" t="s">
        <v>1737</v>
      </c>
      <c r="K1087" t="str">
        <f>IF(ISBLANK('Q 5'!C251),"",IF('Q 5'!C251="&lt;please select&gt;","",'Q 5'!C251))</f>
        <v>Category C installation</v>
      </c>
    </row>
    <row r="1088" spans="1:11" x14ac:dyDescent="0.3">
      <c r="A1088" t="s">
        <v>1847</v>
      </c>
      <c r="B1088" t="s">
        <v>1855</v>
      </c>
      <c r="C1088">
        <v>50</v>
      </c>
      <c r="D1088" t="s">
        <v>1447</v>
      </c>
      <c r="E1088" t="s">
        <v>1856</v>
      </c>
      <c r="F1088" t="s">
        <v>1737</v>
      </c>
      <c r="K1088" t="str">
        <f>IF(ISBLANK('Q 5'!C252),"",IF('Q 5'!C252="&lt;please select&gt;","",'Q 5'!C252))</f>
        <v>Installation with low emissions</v>
      </c>
    </row>
    <row r="1089" spans="1:11" x14ac:dyDescent="0.3">
      <c r="A1089" t="s">
        <v>1847</v>
      </c>
      <c r="B1089" t="s">
        <v>1855</v>
      </c>
      <c r="C1089">
        <v>51</v>
      </c>
      <c r="D1089" t="s">
        <v>1447</v>
      </c>
      <c r="E1089" t="s">
        <v>1856</v>
      </c>
      <c r="F1089" t="s">
        <v>1737</v>
      </c>
      <c r="K1089" t="str">
        <f>IF(ISBLANK('Q 5'!C253),"",IF('Q 5'!C253="&lt;please select&gt;","",'Q 5'!C253))</f>
        <v>Category B installation</v>
      </c>
    </row>
    <row r="1090" spans="1:11" x14ac:dyDescent="0.3">
      <c r="A1090" t="s">
        <v>1847</v>
      </c>
      <c r="B1090" t="s">
        <v>1855</v>
      </c>
      <c r="C1090">
        <v>52</v>
      </c>
      <c r="D1090" t="s">
        <v>1447</v>
      </c>
      <c r="E1090" t="s">
        <v>1856</v>
      </c>
      <c r="F1090" t="s">
        <v>1737</v>
      </c>
      <c r="K1090" t="str">
        <f>IF(ISBLANK('Q 5'!C254),"",IF('Q 5'!C254="&lt;please select&gt;","",'Q 5'!C254))</f>
        <v>Category C installation</v>
      </c>
    </row>
    <row r="1091" spans="1:11" x14ac:dyDescent="0.3">
      <c r="A1091" t="s">
        <v>1847</v>
      </c>
      <c r="B1091" t="s">
        <v>1855</v>
      </c>
      <c r="C1091">
        <v>53</v>
      </c>
      <c r="D1091" t="s">
        <v>1447</v>
      </c>
      <c r="E1091" t="s">
        <v>1856</v>
      </c>
      <c r="F1091" t="s">
        <v>1737</v>
      </c>
      <c r="K1091" t="str">
        <f>IF(ISBLANK('Q 5'!C255),"",IF('Q 5'!C255="&lt;please select&gt;","",'Q 5'!C255))</f>
        <v>Category C installation</v>
      </c>
    </row>
    <row r="1092" spans="1:11" x14ac:dyDescent="0.3">
      <c r="A1092" t="s">
        <v>1847</v>
      </c>
      <c r="B1092" t="s">
        <v>1855</v>
      </c>
      <c r="C1092">
        <v>54</v>
      </c>
      <c r="D1092" t="s">
        <v>1447</v>
      </c>
      <c r="E1092" t="s">
        <v>1856</v>
      </c>
      <c r="F1092" t="s">
        <v>1737</v>
      </c>
      <c r="K1092" t="str">
        <f>IF(ISBLANK('Q 5'!C256),"",IF('Q 5'!C256="&lt;please select&gt;","",'Q 5'!C256))</f>
        <v>Installation with low emissions</v>
      </c>
    </row>
    <row r="1093" spans="1:11" x14ac:dyDescent="0.3">
      <c r="A1093" t="s">
        <v>1847</v>
      </c>
      <c r="B1093" t="s">
        <v>1855</v>
      </c>
      <c r="C1093">
        <v>55</v>
      </c>
      <c r="D1093" t="s">
        <v>1447</v>
      </c>
      <c r="E1093" t="s">
        <v>1856</v>
      </c>
      <c r="F1093" t="s">
        <v>1737</v>
      </c>
      <c r="K1093" t="str">
        <f>IF(ISBLANK('Q 5'!C257),"",IF('Q 5'!C257="&lt;please select&gt;","",'Q 5'!C257))</f>
        <v>Category A installation</v>
      </c>
    </row>
    <row r="1094" spans="1:11" x14ac:dyDescent="0.3">
      <c r="A1094" t="s">
        <v>1847</v>
      </c>
      <c r="B1094" t="s">
        <v>1855</v>
      </c>
      <c r="C1094">
        <v>56</v>
      </c>
      <c r="D1094" t="s">
        <v>1447</v>
      </c>
      <c r="E1094" t="s">
        <v>1856</v>
      </c>
      <c r="F1094" t="s">
        <v>1737</v>
      </c>
      <c r="K1094" t="str">
        <f>IF(ISBLANK('Q 5'!C258),"",IF('Q 5'!C258="&lt;please select&gt;","",'Q 5'!C258))</f>
        <v>Category B installation</v>
      </c>
    </row>
    <row r="1095" spans="1:11" x14ac:dyDescent="0.3">
      <c r="A1095" t="s">
        <v>1847</v>
      </c>
      <c r="B1095" t="s">
        <v>1855</v>
      </c>
      <c r="C1095">
        <v>57</v>
      </c>
      <c r="D1095" t="s">
        <v>1447</v>
      </c>
      <c r="E1095" t="s">
        <v>1856</v>
      </c>
      <c r="F1095" t="s">
        <v>1737</v>
      </c>
      <c r="K1095" t="str">
        <f>IF(ISBLANK('Q 5'!C259),"",IF('Q 5'!C259="&lt;please select&gt;","",'Q 5'!C259))</f>
        <v>Category C installation</v>
      </c>
    </row>
    <row r="1096" spans="1:11" x14ac:dyDescent="0.3">
      <c r="A1096" t="s">
        <v>1847</v>
      </c>
      <c r="B1096" t="s">
        <v>1855</v>
      </c>
      <c r="C1096">
        <v>58</v>
      </c>
      <c r="D1096" t="s">
        <v>1447</v>
      </c>
      <c r="E1096" t="s">
        <v>1856</v>
      </c>
      <c r="F1096" t="s">
        <v>1737</v>
      </c>
      <c r="K1096" t="str">
        <f>IF(ISBLANK('Q 5'!C260),"",IF('Q 5'!C260="&lt;please select&gt;","",'Q 5'!C260))</f>
        <v>Installation with low emissions</v>
      </c>
    </row>
    <row r="1097" spans="1:11" x14ac:dyDescent="0.3">
      <c r="A1097" t="s">
        <v>1847</v>
      </c>
      <c r="B1097" t="s">
        <v>1855</v>
      </c>
      <c r="C1097">
        <v>59</v>
      </c>
      <c r="D1097" t="s">
        <v>1447</v>
      </c>
      <c r="E1097" t="s">
        <v>1856</v>
      </c>
      <c r="F1097" t="s">
        <v>1737</v>
      </c>
      <c r="K1097" t="str">
        <f>IF(ISBLANK('Q 5'!C261),"",IF('Q 5'!C261="&lt;please select&gt;","",'Q 5'!C261))</f>
        <v>Category A installation</v>
      </c>
    </row>
    <row r="1098" spans="1:11" x14ac:dyDescent="0.3">
      <c r="A1098" t="s">
        <v>1847</v>
      </c>
      <c r="B1098" t="s">
        <v>1855</v>
      </c>
      <c r="C1098">
        <v>60</v>
      </c>
      <c r="D1098" t="s">
        <v>1447</v>
      </c>
      <c r="E1098" t="s">
        <v>1856</v>
      </c>
      <c r="F1098" t="s">
        <v>1737</v>
      </c>
      <c r="K1098" t="str">
        <f>IF(ISBLANK('Q 5'!C262),"",IF('Q 5'!C262="&lt;please select&gt;","",'Q 5'!C262))</f>
        <v>Category B installation</v>
      </c>
    </row>
    <row r="1099" spans="1:11" x14ac:dyDescent="0.3">
      <c r="A1099" t="s">
        <v>1847</v>
      </c>
      <c r="B1099" t="s">
        <v>1855</v>
      </c>
      <c r="C1099">
        <v>61</v>
      </c>
      <c r="D1099" t="s">
        <v>1447</v>
      </c>
      <c r="E1099" t="s">
        <v>1856</v>
      </c>
      <c r="F1099" t="s">
        <v>1737</v>
      </c>
      <c r="K1099" t="str">
        <f>IF(ISBLANK('Q 5'!C263),"",IF('Q 5'!C263="&lt;please select&gt;","",'Q 5'!C263))</f>
        <v>Installation with low emissions</v>
      </c>
    </row>
    <row r="1100" spans="1:11" x14ac:dyDescent="0.3">
      <c r="A1100" t="s">
        <v>1847</v>
      </c>
      <c r="B1100" t="s">
        <v>1855</v>
      </c>
      <c r="C1100">
        <v>62</v>
      </c>
      <c r="D1100" t="s">
        <v>1447</v>
      </c>
      <c r="E1100" t="s">
        <v>1856</v>
      </c>
      <c r="F1100" t="s">
        <v>1737</v>
      </c>
      <c r="K1100" t="str">
        <f>IF(ISBLANK('Q 5'!C264),"",IF('Q 5'!C264="&lt;please select&gt;","",'Q 5'!C264))</f>
        <v>Category B installation</v>
      </c>
    </row>
    <row r="1101" spans="1:11" x14ac:dyDescent="0.3">
      <c r="A1101" t="s">
        <v>1847</v>
      </c>
      <c r="B1101" t="s">
        <v>1855</v>
      </c>
      <c r="C1101">
        <v>63</v>
      </c>
      <c r="D1101" t="s">
        <v>1447</v>
      </c>
      <c r="E1101" t="s">
        <v>1856</v>
      </c>
      <c r="F1101" t="s">
        <v>1737</v>
      </c>
      <c r="K1101" t="str">
        <f>IF(ISBLANK('Q 5'!C265),"",IF('Q 5'!C265="&lt;please select&gt;","",'Q 5'!C265))</f>
        <v>Category C installation</v>
      </c>
    </row>
    <row r="1102" spans="1:11" x14ac:dyDescent="0.3">
      <c r="A1102" t="s">
        <v>1847</v>
      </c>
      <c r="B1102" t="s">
        <v>1855</v>
      </c>
      <c r="C1102">
        <v>64</v>
      </c>
      <c r="D1102" t="s">
        <v>1447</v>
      </c>
      <c r="E1102" t="s">
        <v>1856</v>
      </c>
      <c r="F1102" t="s">
        <v>1737</v>
      </c>
      <c r="K1102" t="str">
        <f>IF(ISBLANK('Q 5'!C266),"",IF('Q 5'!C266="&lt;please select&gt;","",'Q 5'!C266))</f>
        <v>Category A installation</v>
      </c>
    </row>
    <row r="1103" spans="1:11" x14ac:dyDescent="0.3">
      <c r="A1103" t="s">
        <v>1847</v>
      </c>
      <c r="B1103" t="s">
        <v>1855</v>
      </c>
      <c r="C1103">
        <v>65</v>
      </c>
      <c r="D1103" t="s">
        <v>1447</v>
      </c>
      <c r="E1103" t="s">
        <v>1856</v>
      </c>
      <c r="F1103" t="s">
        <v>1737</v>
      </c>
      <c r="K1103" t="str">
        <f>IF(ISBLANK('Q 5'!C267),"",IF('Q 5'!C267="&lt;please select&gt;","",'Q 5'!C267))</f>
        <v>Installation with low emissions</v>
      </c>
    </row>
    <row r="1104" spans="1:11" x14ac:dyDescent="0.3">
      <c r="A1104" t="s">
        <v>1847</v>
      </c>
      <c r="B1104" t="s">
        <v>1855</v>
      </c>
      <c r="C1104">
        <v>66</v>
      </c>
      <c r="D1104" t="s">
        <v>1447</v>
      </c>
      <c r="E1104" t="s">
        <v>1856</v>
      </c>
      <c r="F1104" t="s">
        <v>1737</v>
      </c>
      <c r="K1104" t="str">
        <f>IF(ISBLANK('Q 5'!C268),"",IF('Q 5'!C268="&lt;please select&gt;","",'Q 5'!C268))</f>
        <v>Category B installation</v>
      </c>
    </row>
    <row r="1105" spans="1:11" x14ac:dyDescent="0.3">
      <c r="A1105" t="s">
        <v>1847</v>
      </c>
      <c r="B1105" t="s">
        <v>1855</v>
      </c>
      <c r="C1105">
        <v>67</v>
      </c>
      <c r="D1105" t="s">
        <v>1447</v>
      </c>
      <c r="E1105" t="s">
        <v>1856</v>
      </c>
      <c r="F1105" t="s">
        <v>1737</v>
      </c>
      <c r="K1105" t="str">
        <f>IF(ISBLANK('Q 5'!C269),"",IF('Q 5'!C269="&lt;please select&gt;","",'Q 5'!C269))</f>
        <v>Installation with low emissions</v>
      </c>
    </row>
    <row r="1106" spans="1:11" x14ac:dyDescent="0.3">
      <c r="A1106" t="s">
        <v>1847</v>
      </c>
      <c r="B1106" t="s">
        <v>1855</v>
      </c>
      <c r="C1106">
        <v>68</v>
      </c>
      <c r="D1106" t="s">
        <v>1447</v>
      </c>
      <c r="E1106" t="s">
        <v>1856</v>
      </c>
      <c r="F1106" t="s">
        <v>1737</v>
      </c>
      <c r="K1106" t="str">
        <f>IF(ISBLANK('Q 5'!C270),"",IF('Q 5'!C270="&lt;please select&gt;","",'Q 5'!C270))</f>
        <v>Installation with low emissions</v>
      </c>
    </row>
    <row r="1107" spans="1:11" x14ac:dyDescent="0.3">
      <c r="A1107" t="s">
        <v>1847</v>
      </c>
      <c r="B1107" t="s">
        <v>1855</v>
      </c>
      <c r="C1107">
        <v>69</v>
      </c>
      <c r="D1107" t="s">
        <v>1447</v>
      </c>
      <c r="E1107" t="s">
        <v>1856</v>
      </c>
      <c r="F1107" t="s">
        <v>1737</v>
      </c>
      <c r="K1107" t="str">
        <f>IF(ISBLANK('Q 5'!C271),"",IF('Q 5'!C271="&lt;please select&gt;","",'Q 5'!C271))</f>
        <v>Installation with low emissions</v>
      </c>
    </row>
    <row r="1108" spans="1:11" x14ac:dyDescent="0.3">
      <c r="A1108" t="s">
        <v>1847</v>
      </c>
      <c r="B1108" t="s">
        <v>1855</v>
      </c>
      <c r="C1108">
        <v>70</v>
      </c>
      <c r="D1108" t="s">
        <v>1447</v>
      </c>
      <c r="E1108" t="s">
        <v>1856</v>
      </c>
      <c r="F1108" t="s">
        <v>1737</v>
      </c>
      <c r="K1108" t="str">
        <f>IF(ISBLANK('Q 5'!C272),"",IF('Q 5'!C272="&lt;please select&gt;","",'Q 5'!C272))</f>
        <v>Category A installation</v>
      </c>
    </row>
    <row r="1109" spans="1:11" x14ac:dyDescent="0.3">
      <c r="A1109" t="s">
        <v>1847</v>
      </c>
      <c r="B1109" t="s">
        <v>1855</v>
      </c>
      <c r="C1109">
        <v>71</v>
      </c>
      <c r="D1109" t="s">
        <v>1447</v>
      </c>
      <c r="E1109" t="s">
        <v>1856</v>
      </c>
      <c r="F1109" t="s">
        <v>1737</v>
      </c>
      <c r="K1109" t="str">
        <f>IF(ISBLANK('Q 5'!C273),"",IF('Q 5'!C273="&lt;please select&gt;","",'Q 5'!C273))</f>
        <v>Category B installation</v>
      </c>
    </row>
    <row r="1110" spans="1:11" x14ac:dyDescent="0.3">
      <c r="A1110" t="s">
        <v>1847</v>
      </c>
      <c r="B1110" t="s">
        <v>1855</v>
      </c>
      <c r="C1110">
        <v>72</v>
      </c>
      <c r="D1110" t="s">
        <v>1447</v>
      </c>
      <c r="E1110" t="s">
        <v>1856</v>
      </c>
      <c r="F1110" t="s">
        <v>1737</v>
      </c>
      <c r="K1110" t="str">
        <f>IF(ISBLANK('Q 5'!C274),"",IF('Q 5'!C274="&lt;please select&gt;","",'Q 5'!C274))</f>
        <v>Category C installation</v>
      </c>
    </row>
    <row r="1111" spans="1:11" x14ac:dyDescent="0.3">
      <c r="A1111" t="s">
        <v>1847</v>
      </c>
      <c r="B1111" t="s">
        <v>1855</v>
      </c>
      <c r="C1111">
        <v>73</v>
      </c>
      <c r="D1111" t="s">
        <v>1447</v>
      </c>
      <c r="E1111" t="s">
        <v>1856</v>
      </c>
      <c r="F1111" t="s">
        <v>1737</v>
      </c>
      <c r="K1111" t="str">
        <f>IF(ISBLANK('Q 5'!C275),"",IF('Q 5'!C275="&lt;please select&gt;","",'Q 5'!C275))</f>
        <v>Installation with low emissions</v>
      </c>
    </row>
    <row r="1112" spans="1:11" x14ac:dyDescent="0.3">
      <c r="A1112" t="s">
        <v>1847</v>
      </c>
      <c r="B1112" t="s">
        <v>1855</v>
      </c>
      <c r="C1112">
        <v>74</v>
      </c>
      <c r="D1112" t="s">
        <v>1447</v>
      </c>
      <c r="E1112" t="s">
        <v>1856</v>
      </c>
      <c r="F1112" t="s">
        <v>1737</v>
      </c>
      <c r="K1112" t="str">
        <f>IF(ISBLANK('Q 5'!C276),"",IF('Q 5'!C276="&lt;please select&gt;","",'Q 5'!C276))</f>
        <v>Category A installation</v>
      </c>
    </row>
    <row r="1113" spans="1:11" x14ac:dyDescent="0.3">
      <c r="A1113" t="s">
        <v>1847</v>
      </c>
      <c r="B1113" t="s">
        <v>1855</v>
      </c>
      <c r="C1113">
        <v>75</v>
      </c>
      <c r="D1113" t="s">
        <v>1447</v>
      </c>
      <c r="E1113" t="s">
        <v>1856</v>
      </c>
      <c r="F1113" t="s">
        <v>1737</v>
      </c>
      <c r="K1113" t="str">
        <f>IF(ISBLANK('Q 5'!C277),"",IF('Q 5'!C277="&lt;please select&gt;","",'Q 5'!C277))</f>
        <v>Installation with low emissions</v>
      </c>
    </row>
    <row r="1114" spans="1:11" x14ac:dyDescent="0.3">
      <c r="A1114" t="s">
        <v>1847</v>
      </c>
      <c r="B1114" t="s">
        <v>1855</v>
      </c>
      <c r="C1114">
        <v>76</v>
      </c>
      <c r="D1114" t="s">
        <v>1447</v>
      </c>
      <c r="E1114" t="s">
        <v>1856</v>
      </c>
      <c r="F1114" t="s">
        <v>1737</v>
      </c>
      <c r="K1114" t="str">
        <f>IF(ISBLANK('Q 5'!C278),"",IF('Q 5'!C278="&lt;please select&gt;","",'Q 5'!C278))</f>
        <v>Category A installation</v>
      </c>
    </row>
    <row r="1115" spans="1:11" x14ac:dyDescent="0.3">
      <c r="A1115" t="s">
        <v>1847</v>
      </c>
      <c r="B1115" t="s">
        <v>1855</v>
      </c>
      <c r="C1115">
        <v>77</v>
      </c>
      <c r="D1115" t="s">
        <v>1447</v>
      </c>
      <c r="E1115" t="s">
        <v>1856</v>
      </c>
      <c r="F1115" t="s">
        <v>1737</v>
      </c>
      <c r="K1115" t="str">
        <f>IF(ISBLANK('Q 5'!C279),"",IF('Q 5'!C279="&lt;please select&gt;","",'Q 5'!C279))</f>
        <v>Category B installation</v>
      </c>
    </row>
    <row r="1116" spans="1:11" x14ac:dyDescent="0.3">
      <c r="A1116" t="s">
        <v>1847</v>
      </c>
      <c r="B1116" t="s">
        <v>1855</v>
      </c>
      <c r="C1116">
        <v>78</v>
      </c>
      <c r="D1116" t="s">
        <v>1447</v>
      </c>
      <c r="E1116" t="s">
        <v>1856</v>
      </c>
      <c r="F1116" t="s">
        <v>1737</v>
      </c>
      <c r="K1116" t="str">
        <f>IF(ISBLANK('Q 5'!C280),"",IF('Q 5'!C280="&lt;please select&gt;","",'Q 5'!C280))</f>
        <v>Category C installation</v>
      </c>
    </row>
    <row r="1117" spans="1:11" x14ac:dyDescent="0.3">
      <c r="A1117" t="s">
        <v>1847</v>
      </c>
      <c r="B1117" t="s">
        <v>1855</v>
      </c>
      <c r="C1117">
        <v>79</v>
      </c>
      <c r="D1117" t="s">
        <v>1447</v>
      </c>
      <c r="E1117" t="s">
        <v>1856</v>
      </c>
      <c r="F1117" t="s">
        <v>1737</v>
      </c>
      <c r="K1117" t="str">
        <f>IF(ISBLANK('Q 5'!C281),"",IF('Q 5'!C281="&lt;please select&gt;","",'Q 5'!C281))</f>
        <v>Installation with low emissions</v>
      </c>
    </row>
    <row r="1118" spans="1:11" x14ac:dyDescent="0.3">
      <c r="A1118" t="s">
        <v>1847</v>
      </c>
      <c r="B1118" t="s">
        <v>1855</v>
      </c>
      <c r="C1118">
        <v>80</v>
      </c>
      <c r="D1118" t="s">
        <v>1447</v>
      </c>
      <c r="E1118" t="s">
        <v>1856</v>
      </c>
      <c r="F1118" t="s">
        <v>1737</v>
      </c>
      <c r="K1118" t="str">
        <f>IF(ISBLANK('Q 5'!C282),"",IF('Q 5'!C282="&lt;please select&gt;","",'Q 5'!C282))</f>
        <v>Category B installation</v>
      </c>
    </row>
    <row r="1119" spans="1:11" x14ac:dyDescent="0.3">
      <c r="A1119" t="s">
        <v>1847</v>
      </c>
      <c r="B1119" t="s">
        <v>1855</v>
      </c>
      <c r="C1119">
        <v>81</v>
      </c>
      <c r="D1119" t="s">
        <v>1447</v>
      </c>
      <c r="E1119" t="s">
        <v>1856</v>
      </c>
      <c r="F1119" t="s">
        <v>1737</v>
      </c>
      <c r="K1119" t="str">
        <f>IF(ISBLANK('Q 5'!C283),"",IF('Q 5'!C283="&lt;please select&gt;","",'Q 5'!C283))</f>
        <v>Category A installation</v>
      </c>
    </row>
    <row r="1120" spans="1:11" x14ac:dyDescent="0.3">
      <c r="A1120" t="s">
        <v>1847</v>
      </c>
      <c r="B1120" t="s">
        <v>1855</v>
      </c>
      <c r="C1120">
        <v>82</v>
      </c>
      <c r="D1120" t="s">
        <v>1447</v>
      </c>
      <c r="E1120" t="s">
        <v>1856</v>
      </c>
      <c r="F1120" t="s">
        <v>1737</v>
      </c>
      <c r="K1120" t="str">
        <f>IF(ISBLANK('Q 5'!C284),"",IF('Q 5'!C284="&lt;please select&gt;","",'Q 5'!C284))</f>
        <v>Category A installation</v>
      </c>
    </row>
    <row r="1121" spans="1:11" x14ac:dyDescent="0.3">
      <c r="A1121" t="s">
        <v>1847</v>
      </c>
      <c r="B1121" t="s">
        <v>1855</v>
      </c>
      <c r="C1121">
        <v>83</v>
      </c>
      <c r="D1121" t="s">
        <v>1447</v>
      </c>
      <c r="E1121" t="s">
        <v>1856</v>
      </c>
      <c r="F1121" t="s">
        <v>1737</v>
      </c>
      <c r="K1121" t="str">
        <f>IF(ISBLANK('Q 5'!C285),"",IF('Q 5'!C285="&lt;please select&gt;","",'Q 5'!C285))</f>
        <v>Category C installation</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Waste</v>
      </c>
    </row>
    <row r="1840" spans="1:11" x14ac:dyDescent="0.3">
      <c r="A1840" t="s">
        <v>1847</v>
      </c>
      <c r="B1840" t="s">
        <v>1855</v>
      </c>
      <c r="C1840">
        <v>2</v>
      </c>
      <c r="D1840" t="s">
        <v>1447</v>
      </c>
      <c r="E1840" t="s">
        <v>1857</v>
      </c>
      <c r="F1840" t="s">
        <v>1741</v>
      </c>
      <c r="G1840" t="str">
        <f>IF(ISBLANK('Q 5'!H204),"",IF('Q 5'!H204="&lt;please select&gt;","",'Q 5'!H204))</f>
        <v>Waste</v>
      </c>
    </row>
    <row r="1841" spans="1:7" x14ac:dyDescent="0.3">
      <c r="A1841" t="s">
        <v>1847</v>
      </c>
      <c r="B1841" t="s">
        <v>1855</v>
      </c>
      <c r="C1841">
        <v>3</v>
      </c>
      <c r="D1841" t="s">
        <v>1447</v>
      </c>
      <c r="E1841" t="s">
        <v>1857</v>
      </c>
      <c r="F1841" t="s">
        <v>1741</v>
      </c>
      <c r="G1841" t="str">
        <f>IF(ISBLANK('Q 5'!H205),"",IF('Q 5'!H205="&lt;please select&gt;","",'Q 5'!H205))</f>
        <v>Waste</v>
      </c>
    </row>
    <row r="1842" spans="1:7" x14ac:dyDescent="0.3">
      <c r="A1842" t="s">
        <v>1847</v>
      </c>
      <c r="B1842" t="s">
        <v>1855</v>
      </c>
      <c r="C1842">
        <v>4</v>
      </c>
      <c r="D1842" t="s">
        <v>1447</v>
      </c>
      <c r="E1842" t="s">
        <v>1857</v>
      </c>
      <c r="F1842" t="s">
        <v>1741</v>
      </c>
      <c r="G1842" t="str">
        <f>IF(ISBLANK('Q 5'!H206),"",IF('Q 5'!H206="&lt;please select&gt;","",'Q 5'!H206))</f>
        <v>Other solid biomass</v>
      </c>
    </row>
    <row r="1843" spans="1:7" x14ac:dyDescent="0.3">
      <c r="A1843" t="s">
        <v>1847</v>
      </c>
      <c r="B1843" t="s">
        <v>1855</v>
      </c>
      <c r="C1843">
        <v>5</v>
      </c>
      <c r="D1843" t="s">
        <v>1447</v>
      </c>
      <c r="E1843" t="s">
        <v>1857</v>
      </c>
      <c r="F1843" t="s">
        <v>1741</v>
      </c>
      <c r="G1843" t="str">
        <f>IF(ISBLANK('Q 5'!H207),"",IF('Q 5'!H207="&lt;please select&gt;","",'Q 5'!H207))</f>
        <v>Other solid biomass</v>
      </c>
    </row>
    <row r="1844" spans="1:7" x14ac:dyDescent="0.3">
      <c r="A1844" t="s">
        <v>1847</v>
      </c>
      <c r="B1844" t="s">
        <v>1855</v>
      </c>
      <c r="C1844">
        <v>6</v>
      </c>
      <c r="D1844" t="s">
        <v>1447</v>
      </c>
      <c r="E1844" t="s">
        <v>1857</v>
      </c>
      <c r="F1844" t="s">
        <v>1741</v>
      </c>
      <c r="G1844" t="str">
        <f>IF(ISBLANK('Q 5'!H208),"",IF('Q 5'!H208="&lt;please select&gt;","",'Q 5'!H208))</f>
        <v>Other solid biomass</v>
      </c>
    </row>
    <row r="1845" spans="1:7" x14ac:dyDescent="0.3">
      <c r="A1845" t="s">
        <v>1847</v>
      </c>
      <c r="B1845" t="s">
        <v>1855</v>
      </c>
      <c r="C1845">
        <v>7</v>
      </c>
      <c r="D1845" t="s">
        <v>1447</v>
      </c>
      <c r="E1845" t="s">
        <v>1857</v>
      </c>
      <c r="F1845" t="s">
        <v>1741</v>
      </c>
      <c r="G1845" t="str">
        <f>IF(ISBLANK('Q 5'!H209),"",IF('Q 5'!H209="&lt;please select&gt;","",'Q 5'!H209))</f>
        <v>Other solid biomass</v>
      </c>
    </row>
    <row r="1846" spans="1:7" x14ac:dyDescent="0.3">
      <c r="A1846" t="s">
        <v>1847</v>
      </c>
      <c r="B1846" t="s">
        <v>1855</v>
      </c>
      <c r="C1846">
        <v>8</v>
      </c>
      <c r="D1846" t="s">
        <v>1447</v>
      </c>
      <c r="E1846" t="s">
        <v>1857</v>
      </c>
      <c r="F1846" t="s">
        <v>1741</v>
      </c>
      <c r="G1846" t="str">
        <f>IF(ISBLANK('Q 5'!H210),"",IF('Q 5'!H210="&lt;please select&gt;","",'Q 5'!H210))</f>
        <v>Other fossil fuels</v>
      </c>
    </row>
    <row r="1847" spans="1:7" x14ac:dyDescent="0.3">
      <c r="A1847" t="s">
        <v>1847</v>
      </c>
      <c r="B1847" t="s">
        <v>1855</v>
      </c>
      <c r="C1847">
        <v>9</v>
      </c>
      <c r="D1847" t="s">
        <v>1447</v>
      </c>
      <c r="E1847" t="s">
        <v>1857</v>
      </c>
      <c r="F1847" t="s">
        <v>1741</v>
      </c>
      <c r="G1847" t="str">
        <f>IF(ISBLANK('Q 5'!H211),"",IF('Q 5'!H211="&lt;please select&gt;","",'Q 5'!H211))</f>
        <v>Other fossil fuels</v>
      </c>
    </row>
    <row r="1848" spans="1:7" x14ac:dyDescent="0.3">
      <c r="A1848" t="s">
        <v>1847</v>
      </c>
      <c r="B1848" t="s">
        <v>1855</v>
      </c>
      <c r="C1848">
        <v>10</v>
      </c>
      <c r="D1848" t="s">
        <v>1447</v>
      </c>
      <c r="E1848" t="s">
        <v>1857</v>
      </c>
      <c r="F1848" t="s">
        <v>1741</v>
      </c>
      <c r="G1848" t="str">
        <f>IF(ISBLANK('Q 5'!H212),"",IF('Q 5'!H212="&lt;please select&gt;","",'Q 5'!H212))</f>
        <v>Biodiesels</v>
      </c>
    </row>
    <row r="1849" spans="1:7" x14ac:dyDescent="0.3">
      <c r="A1849" t="s">
        <v>1847</v>
      </c>
      <c r="B1849" t="s">
        <v>1855</v>
      </c>
      <c r="C1849">
        <v>11</v>
      </c>
      <c r="D1849" t="s">
        <v>1447</v>
      </c>
      <c r="E1849" t="s">
        <v>1857</v>
      </c>
      <c r="F1849" t="s">
        <v>1741</v>
      </c>
      <c r="G1849" t="str">
        <f>IF(ISBLANK('Q 5'!H213),"",IF('Q 5'!H213="&lt;please select&gt;","",'Q 5'!H213))</f>
        <v>Biogas - other</v>
      </c>
    </row>
    <row r="1850" spans="1:7" x14ac:dyDescent="0.3">
      <c r="A1850" t="s">
        <v>1847</v>
      </c>
      <c r="B1850" t="s">
        <v>1855</v>
      </c>
      <c r="C1850">
        <v>12</v>
      </c>
      <c r="D1850" t="s">
        <v>1447</v>
      </c>
      <c r="E1850" t="s">
        <v>1857</v>
      </c>
      <c r="F1850" t="s">
        <v>1741</v>
      </c>
      <c r="G1850" t="str">
        <f>IF(ISBLANK('Q 5'!H214),"",IF('Q 5'!H214="&lt;please select&gt;","",'Q 5'!H214))</f>
        <v>Biogas - other</v>
      </c>
    </row>
    <row r="1851" spans="1:7" x14ac:dyDescent="0.3">
      <c r="A1851" t="s">
        <v>1847</v>
      </c>
      <c r="B1851" t="s">
        <v>1855</v>
      </c>
      <c r="C1851">
        <v>13</v>
      </c>
      <c r="D1851" t="s">
        <v>1447</v>
      </c>
      <c r="E1851" t="s">
        <v>1857</v>
      </c>
      <c r="F1851" t="s">
        <v>1741</v>
      </c>
      <c r="G1851" t="str">
        <f>IF(ISBLANK('Q 5'!H215),"",IF('Q 5'!H215="&lt;please select&gt;","",'Q 5'!H215))</f>
        <v>Biogas - flaregas</v>
      </c>
    </row>
    <row r="1852" spans="1:7" x14ac:dyDescent="0.3">
      <c r="A1852" t="s">
        <v>1847</v>
      </c>
      <c r="B1852" t="s">
        <v>1855</v>
      </c>
      <c r="C1852">
        <v>14</v>
      </c>
      <c r="D1852" t="s">
        <v>1447</v>
      </c>
      <c r="E1852" t="s">
        <v>1857</v>
      </c>
      <c r="F1852" t="s">
        <v>1741</v>
      </c>
      <c r="G1852" t="str">
        <f>IF(ISBLANK('Q 5'!H216),"",IF('Q 5'!H216="&lt;please select&gt;","",'Q 5'!H216))</f>
        <v>Biogas from waste</v>
      </c>
    </row>
    <row r="1853" spans="1:7" x14ac:dyDescent="0.3">
      <c r="A1853" t="s">
        <v>1847</v>
      </c>
      <c r="B1853" t="s">
        <v>1855</v>
      </c>
      <c r="C1853">
        <v>15</v>
      </c>
      <c r="D1853" t="s">
        <v>1447</v>
      </c>
      <c r="E1853" t="s">
        <v>1857</v>
      </c>
      <c r="F1853" t="s">
        <v>1741</v>
      </c>
      <c r="G1853" t="str">
        <f>IF(ISBLANK('Q 5'!H217),"",IF('Q 5'!H217="&lt;please select&gt;","",'Q 5'!H217))</f>
        <v>Biogas from landfill plant</v>
      </c>
    </row>
    <row r="1854" spans="1:7" x14ac:dyDescent="0.3">
      <c r="A1854" t="s">
        <v>1847</v>
      </c>
      <c r="B1854" t="s">
        <v>1855</v>
      </c>
      <c r="C1854">
        <v>16</v>
      </c>
      <c r="D1854" t="s">
        <v>1447</v>
      </c>
      <c r="E1854" t="s">
        <v>1857</v>
      </c>
      <c r="F1854" t="s">
        <v>1741</v>
      </c>
      <c r="G1854" t="str">
        <f>IF(ISBLANK('Q 5'!H218),"",IF('Q 5'!H218="&lt;please select&gt;","",'Q 5'!H218))</f>
        <v>Biogas from manure</v>
      </c>
    </row>
    <row r="1855" spans="1:7" x14ac:dyDescent="0.3">
      <c r="A1855" t="s">
        <v>1847</v>
      </c>
      <c r="B1855" t="s">
        <v>1855</v>
      </c>
      <c r="C1855">
        <v>17</v>
      </c>
      <c r="D1855" t="s">
        <v>1447</v>
      </c>
      <c r="E1855" t="s">
        <v>1857</v>
      </c>
      <c r="F1855" t="s">
        <v>1741</v>
      </c>
      <c r="G1855" t="str">
        <f>IF(ISBLANK('Q 5'!H219),"",IF('Q 5'!H219="&lt;please select&gt;","",'Q 5'!H219))</f>
        <v>Biogas from manure</v>
      </c>
    </row>
    <row r="1856" spans="1:7" x14ac:dyDescent="0.3">
      <c r="A1856" t="s">
        <v>1847</v>
      </c>
      <c r="B1856" t="s">
        <v>1855</v>
      </c>
      <c r="C1856">
        <v>18</v>
      </c>
      <c r="D1856" t="s">
        <v>1447</v>
      </c>
      <c r="E1856" t="s">
        <v>1857</v>
      </c>
      <c r="F1856" t="s">
        <v>1741</v>
      </c>
      <c r="G1856" t="str">
        <f>IF(ISBLANK('Q 5'!H220),"",IF('Q 5'!H220="&lt;please select&gt;","",'Q 5'!H220))</f>
        <v>Biogas from treatment plants</v>
      </c>
    </row>
    <row r="1857" spans="1:7" x14ac:dyDescent="0.3">
      <c r="A1857" t="s">
        <v>1847</v>
      </c>
      <c r="B1857" t="s">
        <v>1855</v>
      </c>
      <c r="C1857">
        <v>19</v>
      </c>
      <c r="D1857" t="s">
        <v>1447</v>
      </c>
      <c r="E1857" t="s">
        <v>1857</v>
      </c>
      <c r="F1857" t="s">
        <v>1741</v>
      </c>
      <c r="G1857" t="str">
        <f>IF(ISBLANK('Q 5'!H221),"",IF('Q 5'!H221="&lt;please select&gt;","",'Q 5'!H221))</f>
        <v>Biogas from treatment plants</v>
      </c>
    </row>
    <row r="1858" spans="1:7" x14ac:dyDescent="0.3">
      <c r="A1858" t="s">
        <v>1847</v>
      </c>
      <c r="B1858" t="s">
        <v>1855</v>
      </c>
      <c r="C1858">
        <v>20</v>
      </c>
      <c r="D1858" t="s">
        <v>1447</v>
      </c>
      <c r="E1858" t="s">
        <v>1857</v>
      </c>
      <c r="F1858" t="s">
        <v>1741</v>
      </c>
      <c r="G1858" t="str">
        <f>IF(ISBLANK('Q 5'!H222),"",IF('Q 5'!H222="&lt;please select&gt;","",'Q 5'!H222))</f>
        <v>Bionatural gas from gasgrid</v>
      </c>
    </row>
    <row r="1859" spans="1:7" x14ac:dyDescent="0.3">
      <c r="A1859" t="s">
        <v>1847</v>
      </c>
      <c r="B1859" t="s">
        <v>1855</v>
      </c>
      <c r="C1859">
        <v>21</v>
      </c>
      <c r="D1859" t="s">
        <v>1447</v>
      </c>
      <c r="E1859" t="s">
        <v>1857</v>
      </c>
      <c r="F1859" t="s">
        <v>1741</v>
      </c>
      <c r="G1859" t="str">
        <f>IF(ISBLANK('Q 5'!H223),"",IF('Q 5'!H223="&lt;please select&gt;","",'Q 5'!H223))</f>
        <v>Bionatural gas from gasgrid</v>
      </c>
    </row>
    <row r="1860" spans="1:7" x14ac:dyDescent="0.3">
      <c r="A1860" t="s">
        <v>1847</v>
      </c>
      <c r="B1860" t="s">
        <v>1855</v>
      </c>
      <c r="C1860">
        <v>22</v>
      </c>
      <c r="D1860" t="s">
        <v>1447</v>
      </c>
      <c r="E1860" t="s">
        <v>1857</v>
      </c>
      <c r="F1860" t="s">
        <v>1741</v>
      </c>
      <c r="G1860" t="str">
        <f>IF(ISBLANK('Q 5'!H224),"",IF('Q 5'!H224="&lt;please select&gt;","",'Q 5'!H224))</f>
        <v>Bio-oil</v>
      </c>
    </row>
    <row r="1861" spans="1:7" x14ac:dyDescent="0.3">
      <c r="A1861" t="s">
        <v>1847</v>
      </c>
      <c r="B1861" t="s">
        <v>1855</v>
      </c>
      <c r="C1861">
        <v>23</v>
      </c>
      <c r="D1861" t="s">
        <v>1447</v>
      </c>
      <c r="E1861" t="s">
        <v>1857</v>
      </c>
      <c r="F1861" t="s">
        <v>1741</v>
      </c>
      <c r="G1861" t="str">
        <f>IF(ISBLANK('Q 5'!H225),"",IF('Q 5'!H225="&lt;please select&gt;","",'Q 5'!H225))</f>
        <v>Mixed fossil and biofuel</v>
      </c>
    </row>
    <row r="1862" spans="1:7" x14ac:dyDescent="0.3">
      <c r="A1862" t="s">
        <v>1847</v>
      </c>
      <c r="B1862" t="s">
        <v>1855</v>
      </c>
      <c r="C1862">
        <v>24</v>
      </c>
      <c r="D1862" t="s">
        <v>1447</v>
      </c>
      <c r="E1862" t="s">
        <v>1857</v>
      </c>
      <c r="F1862" t="s">
        <v>1741</v>
      </c>
      <c r="G1862" t="str">
        <f>IF(ISBLANK('Q 5'!H226),"",IF('Q 5'!H226="&lt;please select&gt;","",'Q 5'!H226))</f>
        <v>Mixed fossil and biofuel</v>
      </c>
    </row>
    <row r="1863" spans="1:7" x14ac:dyDescent="0.3">
      <c r="A1863" t="s">
        <v>1847</v>
      </c>
      <c r="B1863" t="s">
        <v>1855</v>
      </c>
      <c r="C1863">
        <v>25</v>
      </c>
      <c r="D1863" t="s">
        <v>1447</v>
      </c>
      <c r="E1863" t="s">
        <v>1857</v>
      </c>
      <c r="F1863" t="s">
        <v>1741</v>
      </c>
      <c r="G1863" t="str">
        <f>IF(ISBLANK('Q 5'!H227),"",IF('Q 5'!H227="&lt;please select&gt;","",'Q 5'!H227))</f>
        <v>Butane</v>
      </c>
    </row>
    <row r="1864" spans="1:7" x14ac:dyDescent="0.3">
      <c r="A1864" t="s">
        <v>1847</v>
      </c>
      <c r="B1864" t="s">
        <v>1855</v>
      </c>
      <c r="C1864">
        <v>26</v>
      </c>
      <c r="D1864" t="s">
        <v>1447</v>
      </c>
      <c r="E1864" t="s">
        <v>1857</v>
      </c>
      <c r="F1864" t="s">
        <v>1741</v>
      </c>
      <c r="G1864" t="str">
        <f>IF(ISBLANK('Q 5'!H228),"",IF('Q 5'!H228="&lt;please select&gt;","",'Q 5'!H228))</f>
        <v>Fuel oil</v>
      </c>
    </row>
    <row r="1865" spans="1:7" x14ac:dyDescent="0.3">
      <c r="A1865" t="s">
        <v>1847</v>
      </c>
      <c r="B1865" t="s">
        <v>1855</v>
      </c>
      <c r="C1865">
        <v>27</v>
      </c>
      <c r="D1865" t="s">
        <v>1447</v>
      </c>
      <c r="E1865" t="s">
        <v>1857</v>
      </c>
      <c r="F1865" t="s">
        <v>1741</v>
      </c>
      <c r="G1865" t="str">
        <f>IF(ISBLANK('Q 5'!H229),"",IF('Q 5'!H229="&lt;please select&gt;","",'Q 5'!H229))</f>
        <v>Fuel oil</v>
      </c>
    </row>
    <row r="1866" spans="1:7" x14ac:dyDescent="0.3">
      <c r="A1866" t="s">
        <v>1847</v>
      </c>
      <c r="B1866" t="s">
        <v>1855</v>
      </c>
      <c r="C1866">
        <v>28</v>
      </c>
      <c r="D1866" t="s">
        <v>1447</v>
      </c>
      <c r="E1866" t="s">
        <v>1857</v>
      </c>
      <c r="F1866" t="s">
        <v>1741</v>
      </c>
      <c r="G1866" t="str">
        <f>IF(ISBLANK('Q 5'!H230),"",IF('Q 5'!H230="&lt;please select&gt;","",'Q 5'!H230))</f>
        <v>Fuel oil</v>
      </c>
    </row>
    <row r="1867" spans="1:7" x14ac:dyDescent="0.3">
      <c r="A1867" t="s">
        <v>1847</v>
      </c>
      <c r="B1867" t="s">
        <v>1855</v>
      </c>
      <c r="C1867">
        <v>29</v>
      </c>
      <c r="D1867" t="s">
        <v>1447</v>
      </c>
      <c r="E1867" t="s">
        <v>1857</v>
      </c>
      <c r="F1867" t="s">
        <v>1741</v>
      </c>
      <c r="G1867" t="str">
        <f>IF(ISBLANK('Q 5'!H231),"",IF('Q 5'!H231="&lt;please select&gt;","",'Q 5'!H231))</f>
        <v>Gas oil</v>
      </c>
    </row>
    <row r="1868" spans="1:7" x14ac:dyDescent="0.3">
      <c r="A1868" t="s">
        <v>1847</v>
      </c>
      <c r="B1868" t="s">
        <v>1855</v>
      </c>
      <c r="C1868">
        <v>30</v>
      </c>
      <c r="D1868" t="s">
        <v>1447</v>
      </c>
      <c r="E1868" t="s">
        <v>1857</v>
      </c>
      <c r="F1868" t="s">
        <v>1741</v>
      </c>
      <c r="G1868" t="str">
        <f>IF(ISBLANK('Q 5'!H232),"",IF('Q 5'!H232="&lt;please select&gt;","",'Q 5'!H232))</f>
        <v>Gas oil</v>
      </c>
    </row>
    <row r="1869" spans="1:7" x14ac:dyDescent="0.3">
      <c r="A1869" t="s">
        <v>1847</v>
      </c>
      <c r="B1869" t="s">
        <v>1855</v>
      </c>
      <c r="C1869">
        <v>31</v>
      </c>
      <c r="D1869" t="s">
        <v>1447</v>
      </c>
      <c r="E1869" t="s">
        <v>1857</v>
      </c>
      <c r="F1869" t="s">
        <v>1741</v>
      </c>
      <c r="G1869" t="str">
        <f>IF(ISBLANK('Q 5'!H233),"",IF('Q 5'!H233="&lt;please select&gt;","",'Q 5'!H233))</f>
        <v>Gas oil</v>
      </c>
    </row>
    <row r="1870" spans="1:7" x14ac:dyDescent="0.3">
      <c r="A1870" t="s">
        <v>1847</v>
      </c>
      <c r="B1870" t="s">
        <v>1855</v>
      </c>
      <c r="C1870">
        <v>32</v>
      </c>
      <c r="D1870" t="s">
        <v>1447</v>
      </c>
      <c r="E1870" t="s">
        <v>1857</v>
      </c>
      <c r="F1870" t="s">
        <v>1741</v>
      </c>
      <c r="G1870" t="str">
        <f>IF(ISBLANK('Q 5'!H234),"",IF('Q 5'!H234="&lt;please select&gt;","",'Q 5'!H234))</f>
        <v>Gas oil</v>
      </c>
    </row>
    <row r="1871" spans="1:7" x14ac:dyDescent="0.3">
      <c r="A1871" t="s">
        <v>1847</v>
      </c>
      <c r="B1871" t="s">
        <v>1855</v>
      </c>
      <c r="C1871">
        <v>33</v>
      </c>
      <c r="D1871" t="s">
        <v>1447</v>
      </c>
      <c r="E1871" t="s">
        <v>1857</v>
      </c>
      <c r="F1871" t="s">
        <v>1741</v>
      </c>
      <c r="G1871" t="str">
        <f>IF(ISBLANK('Q 5'!H235),"",IF('Q 5'!H235="&lt;please select&gt;","",'Q 5'!H235))</f>
        <v>Straw</v>
      </c>
    </row>
    <row r="1872" spans="1:7" x14ac:dyDescent="0.3">
      <c r="A1872" t="s">
        <v>1847</v>
      </c>
      <c r="B1872" t="s">
        <v>1855</v>
      </c>
      <c r="C1872">
        <v>34</v>
      </c>
      <c r="D1872" t="s">
        <v>1447</v>
      </c>
      <c r="E1872" t="s">
        <v>1857</v>
      </c>
      <c r="F1872" t="s">
        <v>1741</v>
      </c>
      <c r="G1872" t="str">
        <f>IF(ISBLANK('Q 5'!H236),"",IF('Q 5'!H236="&lt;please select&gt;","",'Q 5'!H236))</f>
        <v>Straw</v>
      </c>
    </row>
    <row r="1873" spans="1:7" x14ac:dyDescent="0.3">
      <c r="A1873" t="s">
        <v>1847</v>
      </c>
      <c r="B1873" t="s">
        <v>1855</v>
      </c>
      <c r="C1873">
        <v>35</v>
      </c>
      <c r="D1873" t="s">
        <v>1447</v>
      </c>
      <c r="E1873" t="s">
        <v>1857</v>
      </c>
      <c r="F1873" t="s">
        <v>1741</v>
      </c>
      <c r="G1873" t="str">
        <f>IF(ISBLANK('Q 5'!H237),"",IF('Q 5'!H237="&lt;please select&gt;","",'Q 5'!H237))</f>
        <v>Straw</v>
      </c>
    </row>
    <row r="1874" spans="1:7" x14ac:dyDescent="0.3">
      <c r="A1874" t="s">
        <v>1847</v>
      </c>
      <c r="B1874" t="s">
        <v>1855</v>
      </c>
      <c r="C1874">
        <v>36</v>
      </c>
      <c r="D1874" t="s">
        <v>1447</v>
      </c>
      <c r="E1874" t="s">
        <v>1857</v>
      </c>
      <c r="F1874" t="s">
        <v>1741</v>
      </c>
      <c r="G1874" t="str">
        <f>IF(ISBLANK('Q 5'!H238),"",IF('Q 5'!H238="&lt;please select&gt;","",'Q 5'!H238))</f>
        <v>Straw</v>
      </c>
    </row>
    <row r="1875" spans="1:7" x14ac:dyDescent="0.3">
      <c r="A1875" t="s">
        <v>1847</v>
      </c>
      <c r="B1875" t="s">
        <v>1855</v>
      </c>
      <c r="C1875">
        <v>37</v>
      </c>
      <c r="D1875" t="s">
        <v>1447</v>
      </c>
      <c r="E1875" t="s">
        <v>1857</v>
      </c>
      <c r="F1875" t="s">
        <v>1741</v>
      </c>
      <c r="G1875" t="str">
        <f>IF(ISBLANK('Q 5'!H239),"",IF('Q 5'!H239="&lt;please select&gt;","",'Q 5'!H239))</f>
        <v>Coke, cinders</v>
      </c>
    </row>
    <row r="1876" spans="1:7" x14ac:dyDescent="0.3">
      <c r="A1876" t="s">
        <v>1847</v>
      </c>
      <c r="B1876" t="s">
        <v>1855</v>
      </c>
      <c r="C1876">
        <v>38</v>
      </c>
      <c r="D1876" t="s">
        <v>1447</v>
      </c>
      <c r="E1876" t="s">
        <v>1857</v>
      </c>
      <c r="F1876" t="s">
        <v>1741</v>
      </c>
      <c r="G1876" t="str">
        <f>IF(ISBLANK('Q 5'!H240),"",IF('Q 5'!H240="&lt;please select&gt;","",'Q 5'!H240))</f>
        <v>Coke, cinders</v>
      </c>
    </row>
    <row r="1877" spans="1:7" x14ac:dyDescent="0.3">
      <c r="A1877" t="s">
        <v>1847</v>
      </c>
      <c r="B1877" t="s">
        <v>1855</v>
      </c>
      <c r="C1877">
        <v>39</v>
      </c>
      <c r="D1877" t="s">
        <v>1447</v>
      </c>
      <c r="E1877" t="s">
        <v>1857</v>
      </c>
      <c r="F1877" t="s">
        <v>1741</v>
      </c>
      <c r="G1877" t="str">
        <f>IF(ISBLANK('Q 5'!H241),"",IF('Q 5'!H241="&lt;please select&gt;","",'Q 5'!H241))</f>
        <v>Malting wheat</v>
      </c>
    </row>
    <row r="1878" spans="1:7" x14ac:dyDescent="0.3">
      <c r="A1878" t="s">
        <v>1847</v>
      </c>
      <c r="B1878" t="s">
        <v>1855</v>
      </c>
      <c r="C1878">
        <v>40</v>
      </c>
      <c r="D1878" t="s">
        <v>1447</v>
      </c>
      <c r="E1878" t="s">
        <v>1857</v>
      </c>
      <c r="F1878" t="s">
        <v>1741</v>
      </c>
      <c r="G1878" t="str">
        <f>IF(ISBLANK('Q 5'!H242),"",IF('Q 5'!H242="&lt;please select&gt;","",'Q 5'!H242))</f>
        <v>Hard coal</v>
      </c>
    </row>
    <row r="1879" spans="1:7" x14ac:dyDescent="0.3">
      <c r="A1879" t="s">
        <v>1847</v>
      </c>
      <c r="B1879" t="s">
        <v>1855</v>
      </c>
      <c r="C1879">
        <v>41</v>
      </c>
      <c r="D1879" t="s">
        <v>1447</v>
      </c>
      <c r="E1879" t="s">
        <v>1857</v>
      </c>
      <c r="F1879" t="s">
        <v>1741</v>
      </c>
      <c r="G1879" t="str">
        <f>IF(ISBLANK('Q 5'!H243),"",IF('Q 5'!H243="&lt;please select&gt;","",'Q 5'!H243))</f>
        <v>Hard coal</v>
      </c>
    </row>
    <row r="1880" spans="1:7" x14ac:dyDescent="0.3">
      <c r="A1880" t="s">
        <v>1847</v>
      </c>
      <c r="B1880" t="s">
        <v>1855</v>
      </c>
      <c r="C1880">
        <v>42</v>
      </c>
      <c r="D1880" t="s">
        <v>1447</v>
      </c>
      <c r="E1880" t="s">
        <v>1857</v>
      </c>
      <c r="F1880" t="s">
        <v>1741</v>
      </c>
      <c r="G1880" t="str">
        <f>IF(ISBLANK('Q 5'!H244),"",IF('Q 5'!H244="&lt;please select&gt;","",'Q 5'!H244))</f>
        <v>Hard coal</v>
      </c>
    </row>
    <row r="1881" spans="1:7" x14ac:dyDescent="0.3">
      <c r="A1881" t="s">
        <v>1847</v>
      </c>
      <c r="B1881" t="s">
        <v>1855</v>
      </c>
      <c r="C1881">
        <v>43</v>
      </c>
      <c r="D1881" t="s">
        <v>1447</v>
      </c>
      <c r="E1881" t="s">
        <v>1857</v>
      </c>
      <c r="F1881" t="s">
        <v>1741</v>
      </c>
      <c r="G1881" t="str">
        <f>IF(ISBLANK('Q 5'!H245),"",IF('Q 5'!H245="&lt;please select&gt;","",'Q 5'!H245))</f>
        <v>Hard coal</v>
      </c>
    </row>
    <row r="1882" spans="1:7" x14ac:dyDescent="0.3">
      <c r="A1882" t="s">
        <v>1847</v>
      </c>
      <c r="B1882" t="s">
        <v>1855</v>
      </c>
      <c r="C1882">
        <v>44</v>
      </c>
      <c r="D1882" t="s">
        <v>1447</v>
      </c>
      <c r="E1882" t="s">
        <v>1857</v>
      </c>
      <c r="F1882" t="s">
        <v>1741</v>
      </c>
      <c r="G1882" t="str">
        <f>IF(ISBLANK('Q 5'!H246),"",IF('Q 5'!H246="&lt;please select&gt;","",'Q 5'!H246))</f>
        <v>Meat and bone meal</v>
      </c>
    </row>
    <row r="1883" spans="1:7" x14ac:dyDescent="0.3">
      <c r="A1883" t="s">
        <v>1847</v>
      </c>
      <c r="B1883" t="s">
        <v>1855</v>
      </c>
      <c r="C1883">
        <v>45</v>
      </c>
      <c r="D1883" t="s">
        <v>1447</v>
      </c>
      <c r="E1883" t="s">
        <v>1857</v>
      </c>
      <c r="F1883" t="s">
        <v>1741</v>
      </c>
      <c r="G1883" t="str">
        <f>IF(ISBLANK('Q 5'!H247),"",IF('Q 5'!H247="&lt;please select&gt;","",'Q 5'!H247))</f>
        <v>Meat and bone meal</v>
      </c>
    </row>
    <row r="1884" spans="1:7" x14ac:dyDescent="0.3">
      <c r="A1884" t="s">
        <v>1847</v>
      </c>
      <c r="B1884" t="s">
        <v>1855</v>
      </c>
      <c r="C1884">
        <v>46</v>
      </c>
      <c r="D1884" t="s">
        <v>1447</v>
      </c>
      <c r="E1884" t="s">
        <v>1857</v>
      </c>
      <c r="F1884" t="s">
        <v>1741</v>
      </c>
      <c r="G1884" t="str">
        <f>IF(ISBLANK('Q 5'!H248),"",IF('Q 5'!H248="&lt;please select&gt;","",'Q 5'!H248))</f>
        <v>Liquefied petroleum gases</v>
      </c>
    </row>
    <row r="1885" spans="1:7" x14ac:dyDescent="0.3">
      <c r="A1885" t="s">
        <v>1847</v>
      </c>
      <c r="B1885" t="s">
        <v>1855</v>
      </c>
      <c r="C1885">
        <v>47</v>
      </c>
      <c r="D1885" t="s">
        <v>1447</v>
      </c>
      <c r="E1885" t="s">
        <v>1857</v>
      </c>
      <c r="F1885" t="s">
        <v>1741</v>
      </c>
      <c r="G1885" t="str">
        <f>IF(ISBLANK('Q 5'!H249),"",IF('Q 5'!H249="&lt;please select&gt;","",'Q 5'!H249))</f>
        <v>Liquefied petroleum gases</v>
      </c>
    </row>
    <row r="1886" spans="1:7" x14ac:dyDescent="0.3">
      <c r="A1886" t="s">
        <v>1847</v>
      </c>
      <c r="B1886" t="s">
        <v>1855</v>
      </c>
      <c r="C1886">
        <v>48</v>
      </c>
      <c r="D1886" t="s">
        <v>1447</v>
      </c>
      <c r="E1886" t="s">
        <v>1857</v>
      </c>
      <c r="F1886" t="s">
        <v>1741</v>
      </c>
      <c r="G1886" t="str">
        <f>IF(ISBLANK('Q 5'!H250),"",IF('Q 5'!H250="&lt;please select&gt;","",'Q 5'!H250))</f>
        <v>Liquefied petroleum gases</v>
      </c>
    </row>
    <row r="1887" spans="1:7" x14ac:dyDescent="0.3">
      <c r="A1887" t="s">
        <v>1847</v>
      </c>
      <c r="B1887" t="s">
        <v>1855</v>
      </c>
      <c r="C1887">
        <v>49</v>
      </c>
      <c r="D1887" t="s">
        <v>1447</v>
      </c>
      <c r="E1887" t="s">
        <v>1857</v>
      </c>
      <c r="F1887" t="s">
        <v>1741</v>
      </c>
      <c r="G1887" t="str">
        <f>IF(ISBLANK('Q 5'!H251),"",IF('Q 5'!H251="&lt;please select&gt;","",'Q 5'!H251))</f>
        <v>Liquefied petroleum gases</v>
      </c>
    </row>
    <row r="1888" spans="1:7" x14ac:dyDescent="0.3">
      <c r="A1888" t="s">
        <v>1847</v>
      </c>
      <c r="B1888" t="s">
        <v>1855</v>
      </c>
      <c r="C1888">
        <v>50</v>
      </c>
      <c r="D1888" t="s">
        <v>1447</v>
      </c>
      <c r="E1888" t="s">
        <v>1857</v>
      </c>
      <c r="F1888" t="s">
        <v>1741</v>
      </c>
      <c r="G1888" t="str">
        <f>IF(ISBLANK('Q 5'!H252),"",IF('Q 5'!H252="&lt;please select&gt;","",'Q 5'!H252))</f>
        <v>Material - other carbon materials</v>
      </c>
    </row>
    <row r="1889" spans="1:7" x14ac:dyDescent="0.3">
      <c r="A1889" t="s">
        <v>1847</v>
      </c>
      <c r="B1889" t="s">
        <v>1855</v>
      </c>
      <c r="C1889">
        <v>51</v>
      </c>
      <c r="D1889" t="s">
        <v>1447</v>
      </c>
      <c r="E1889" t="s">
        <v>1857</v>
      </c>
      <c r="F1889" t="s">
        <v>1741</v>
      </c>
      <c r="G1889" t="str">
        <f>IF(ISBLANK('Q 5'!H253),"",IF('Q 5'!H253="&lt;please select&gt;","",'Q 5'!H253))</f>
        <v>Material - other carbon materials</v>
      </c>
    </row>
    <row r="1890" spans="1:7" x14ac:dyDescent="0.3">
      <c r="A1890" t="s">
        <v>1847</v>
      </c>
      <c r="B1890" t="s">
        <v>1855</v>
      </c>
      <c r="C1890">
        <v>52</v>
      </c>
      <c r="D1890" t="s">
        <v>1447</v>
      </c>
      <c r="E1890" t="s">
        <v>1857</v>
      </c>
      <c r="F1890" t="s">
        <v>1741</v>
      </c>
      <c r="G1890" t="str">
        <f>IF(ISBLANK('Q 5'!H254),"",IF('Q 5'!H254="&lt;please select&gt;","",'Q 5'!H254))</f>
        <v>Material - other carbon materials</v>
      </c>
    </row>
    <row r="1891" spans="1:7" x14ac:dyDescent="0.3">
      <c r="A1891" t="s">
        <v>1847</v>
      </c>
      <c r="B1891" t="s">
        <v>1855</v>
      </c>
      <c r="C1891">
        <v>53</v>
      </c>
      <c r="D1891" t="s">
        <v>1447</v>
      </c>
      <c r="E1891" t="s">
        <v>1857</v>
      </c>
      <c r="F1891" t="s">
        <v>1741</v>
      </c>
      <c r="G1891" t="str">
        <f>IF(ISBLANK('Q 5'!H255),"",IF('Q 5'!H255="&lt;please select&gt;","",'Q 5'!H255))</f>
        <v>Material - Bypass material</v>
      </c>
    </row>
    <row r="1892" spans="1:7" x14ac:dyDescent="0.3">
      <c r="A1892" t="s">
        <v>1847</v>
      </c>
      <c r="B1892" t="s">
        <v>1855</v>
      </c>
      <c r="C1892">
        <v>54</v>
      </c>
      <c r="D1892" t="s">
        <v>1447</v>
      </c>
      <c r="E1892" t="s">
        <v>1857</v>
      </c>
      <c r="F1892" t="s">
        <v>1741</v>
      </c>
      <c r="G1892" t="str">
        <f>IF(ISBLANK('Q 5'!H256),"",IF('Q 5'!H256="&lt;please select&gt;","",'Q 5'!H256))</f>
        <v>Material - CaCO3</v>
      </c>
    </row>
    <row r="1893" spans="1:7" x14ac:dyDescent="0.3">
      <c r="A1893" t="s">
        <v>1847</v>
      </c>
      <c r="B1893" t="s">
        <v>1855</v>
      </c>
      <c r="C1893">
        <v>55</v>
      </c>
      <c r="D1893" t="s">
        <v>1447</v>
      </c>
      <c r="E1893" t="s">
        <v>1857</v>
      </c>
      <c r="F1893" t="s">
        <v>1741</v>
      </c>
      <c r="G1893" t="str">
        <f>IF(ISBLANK('Q 5'!H257),"",IF('Q 5'!H257="&lt;please select&gt;","",'Q 5'!H257))</f>
        <v>Material - CaCO3</v>
      </c>
    </row>
    <row r="1894" spans="1:7" x14ac:dyDescent="0.3">
      <c r="A1894" t="s">
        <v>1847</v>
      </c>
      <c r="B1894" t="s">
        <v>1855</v>
      </c>
      <c r="C1894">
        <v>56</v>
      </c>
      <c r="D1894" t="s">
        <v>1447</v>
      </c>
      <c r="E1894" t="s">
        <v>1857</v>
      </c>
      <c r="F1894" t="s">
        <v>1741</v>
      </c>
      <c r="G1894" t="str">
        <f>IF(ISBLANK('Q 5'!H258),"",IF('Q 5'!H258="&lt;please select&gt;","",'Q 5'!H258))</f>
        <v>Material - CaCO3</v>
      </c>
    </row>
    <row r="1895" spans="1:7" x14ac:dyDescent="0.3">
      <c r="A1895" t="s">
        <v>1847</v>
      </c>
      <c r="B1895" t="s">
        <v>1855</v>
      </c>
      <c r="C1895">
        <v>57</v>
      </c>
      <c r="D1895" t="s">
        <v>1447</v>
      </c>
      <c r="E1895" t="s">
        <v>1857</v>
      </c>
      <c r="F1895" t="s">
        <v>1741</v>
      </c>
      <c r="G1895" t="str">
        <f>IF(ISBLANK('Q 5'!H259),"",IF('Q 5'!H259="&lt;please select&gt;","",'Q 5'!H259))</f>
        <v>Material - CaCO3</v>
      </c>
    </row>
    <row r="1896" spans="1:7" x14ac:dyDescent="0.3">
      <c r="A1896" t="s">
        <v>1847</v>
      </c>
      <c r="B1896" t="s">
        <v>1855</v>
      </c>
      <c r="C1896">
        <v>58</v>
      </c>
      <c r="D1896" t="s">
        <v>1447</v>
      </c>
      <c r="E1896" t="s">
        <v>1857</v>
      </c>
      <c r="F1896" t="s">
        <v>1741</v>
      </c>
      <c r="G1896" t="str">
        <f>IF(ISBLANK('Q 5'!H260),"",IF('Q 5'!H260="&lt;please select&gt;","",'Q 5'!H260))</f>
        <v>Material - Dolomite</v>
      </c>
    </row>
    <row r="1897" spans="1:7" x14ac:dyDescent="0.3">
      <c r="A1897" t="s">
        <v>1847</v>
      </c>
      <c r="B1897" t="s">
        <v>1855</v>
      </c>
      <c r="C1897">
        <v>59</v>
      </c>
      <c r="D1897" t="s">
        <v>1447</v>
      </c>
      <c r="E1897" t="s">
        <v>1857</v>
      </c>
      <c r="F1897" t="s">
        <v>1741</v>
      </c>
      <c r="G1897" t="str">
        <f>IF(ISBLANK('Q 5'!H261),"",IF('Q 5'!H261="&lt;please select&gt;","",'Q 5'!H261))</f>
        <v>Material - Dolomite</v>
      </c>
    </row>
    <row r="1898" spans="1:7" x14ac:dyDescent="0.3">
      <c r="A1898" t="s">
        <v>1847</v>
      </c>
      <c r="B1898" t="s">
        <v>1855</v>
      </c>
      <c r="C1898">
        <v>60</v>
      </c>
      <c r="D1898" t="s">
        <v>1447</v>
      </c>
      <c r="E1898" t="s">
        <v>1857</v>
      </c>
      <c r="F1898" t="s">
        <v>1741</v>
      </c>
      <c r="G1898" t="str">
        <f>IF(ISBLANK('Q 5'!H262),"",IF('Q 5'!H262="&lt;please select&gt;","",'Q 5'!H262))</f>
        <v>Material - Dolomite</v>
      </c>
    </row>
    <row r="1899" spans="1:7" x14ac:dyDescent="0.3">
      <c r="A1899" t="s">
        <v>1847</v>
      </c>
      <c r="B1899" t="s">
        <v>1855</v>
      </c>
      <c r="C1899">
        <v>61</v>
      </c>
      <c r="D1899" t="s">
        <v>1447</v>
      </c>
      <c r="E1899" t="s">
        <v>1857</v>
      </c>
      <c r="F1899" t="s">
        <v>1741</v>
      </c>
      <c r="G1899" t="str">
        <f>IF(ISBLANK('Q 5'!H263),"",IF('Q 5'!H263="&lt;please select&gt;","",'Q 5'!H263))</f>
        <v>Material - Na2CO3</v>
      </c>
    </row>
    <row r="1900" spans="1:7" x14ac:dyDescent="0.3">
      <c r="A1900" t="s">
        <v>1847</v>
      </c>
      <c r="B1900" t="s">
        <v>1855</v>
      </c>
      <c r="C1900">
        <v>62</v>
      </c>
      <c r="D1900" t="s">
        <v>1447</v>
      </c>
      <c r="E1900" t="s">
        <v>1857</v>
      </c>
      <c r="F1900" t="s">
        <v>1741</v>
      </c>
      <c r="G1900" t="str">
        <f>IF(ISBLANK('Q 5'!H264),"",IF('Q 5'!H264="&lt;please select&gt;","",'Q 5'!H264))</f>
        <v>Material - Na2CO3</v>
      </c>
    </row>
    <row r="1901" spans="1:7" x14ac:dyDescent="0.3">
      <c r="A1901" t="s">
        <v>1847</v>
      </c>
      <c r="B1901" t="s">
        <v>1855</v>
      </c>
      <c r="C1901">
        <v>63</v>
      </c>
      <c r="D1901" t="s">
        <v>1447</v>
      </c>
      <c r="E1901" t="s">
        <v>1857</v>
      </c>
      <c r="F1901" t="s">
        <v>1741</v>
      </c>
      <c r="G1901" t="str">
        <f>IF(ISBLANK('Q 5'!H265),"",IF('Q 5'!H265="&lt;please select&gt;","",'Q 5'!H265))</f>
        <v>Material - Raw materials</v>
      </c>
    </row>
    <row r="1902" spans="1:7" x14ac:dyDescent="0.3">
      <c r="A1902" t="s">
        <v>1847</v>
      </c>
      <c r="B1902" t="s">
        <v>1855</v>
      </c>
      <c r="C1902">
        <v>64</v>
      </c>
      <c r="D1902" t="s">
        <v>1447</v>
      </c>
      <c r="E1902" t="s">
        <v>1857</v>
      </c>
      <c r="F1902" t="s">
        <v>1741</v>
      </c>
      <c r="G1902" t="str">
        <f>IF(ISBLANK('Q 5'!H266),"",IF('Q 5'!H266="&lt;please select&gt;","",'Q 5'!H266))</f>
        <v>Methanol</v>
      </c>
    </row>
    <row r="1903" spans="1:7" x14ac:dyDescent="0.3">
      <c r="A1903" t="s">
        <v>1847</v>
      </c>
      <c r="B1903" t="s">
        <v>1855</v>
      </c>
      <c r="C1903">
        <v>65</v>
      </c>
      <c r="D1903" t="s">
        <v>1447</v>
      </c>
      <c r="E1903" t="s">
        <v>1857</v>
      </c>
      <c r="F1903" t="s">
        <v>1741</v>
      </c>
      <c r="G1903" t="str">
        <f>IF(ISBLANK('Q 5'!H267),"",IF('Q 5'!H267="&lt;please select&gt;","",'Q 5'!H267))</f>
        <v>Natural gas from gas grid</v>
      </c>
    </row>
    <row r="1904" spans="1:7" x14ac:dyDescent="0.3">
      <c r="A1904" t="s">
        <v>1847</v>
      </c>
      <c r="B1904" t="s">
        <v>1855</v>
      </c>
      <c r="C1904">
        <v>66</v>
      </c>
      <c r="D1904" t="s">
        <v>1447</v>
      </c>
      <c r="E1904" t="s">
        <v>1857</v>
      </c>
      <c r="F1904" t="s">
        <v>1741</v>
      </c>
      <c r="G1904" t="str">
        <f>IF(ISBLANK('Q 5'!H268),"",IF('Q 5'!H268="&lt;please select&gt;","",'Q 5'!H268))</f>
        <v>Natural gas from gas grid</v>
      </c>
    </row>
    <row r="1905" spans="1:7" x14ac:dyDescent="0.3">
      <c r="A1905" t="s">
        <v>1847</v>
      </c>
      <c r="B1905" t="s">
        <v>1855</v>
      </c>
      <c r="C1905">
        <v>67</v>
      </c>
      <c r="D1905" t="s">
        <v>1447</v>
      </c>
      <c r="E1905" t="s">
        <v>1857</v>
      </c>
      <c r="F1905" t="s">
        <v>1741</v>
      </c>
      <c r="G1905" t="str">
        <f>IF(ISBLANK('Q 5'!H269),"",IF('Q 5'!H269="&lt;please select&gt;","",'Q 5'!H269))</f>
        <v>Petroleum coke</v>
      </c>
    </row>
    <row r="1906" spans="1:7" x14ac:dyDescent="0.3">
      <c r="A1906" t="s">
        <v>1847</v>
      </c>
      <c r="B1906" t="s">
        <v>1855</v>
      </c>
      <c r="C1906">
        <v>68</v>
      </c>
      <c r="D1906" t="s">
        <v>1447</v>
      </c>
      <c r="E1906" t="s">
        <v>1857</v>
      </c>
      <c r="F1906" t="s">
        <v>1741</v>
      </c>
      <c r="G1906" t="str">
        <f>IF(ISBLANK('Q 5'!H270),"",IF('Q 5'!H270="&lt;please select&gt;","",'Q 5'!H270))</f>
        <v>Rapeseed oil</v>
      </c>
    </row>
    <row r="1907" spans="1:7" x14ac:dyDescent="0.3">
      <c r="A1907" t="s">
        <v>1847</v>
      </c>
      <c r="B1907" t="s">
        <v>1855</v>
      </c>
      <c r="C1907">
        <v>69</v>
      </c>
      <c r="D1907" t="s">
        <v>1447</v>
      </c>
      <c r="E1907" t="s">
        <v>1857</v>
      </c>
      <c r="F1907" t="s">
        <v>1741</v>
      </c>
      <c r="G1907" t="str">
        <f>IF(ISBLANK('Q 5'!H271),"",IF('Q 5'!H271="&lt;please select&gt;","",'Q 5'!H271))</f>
        <v>Wood chips</v>
      </c>
    </row>
    <row r="1908" spans="1:7" x14ac:dyDescent="0.3">
      <c r="A1908" t="s">
        <v>1847</v>
      </c>
      <c r="B1908" t="s">
        <v>1855</v>
      </c>
      <c r="C1908">
        <v>70</v>
      </c>
      <c r="D1908" t="s">
        <v>1447</v>
      </c>
      <c r="E1908" t="s">
        <v>1857</v>
      </c>
      <c r="F1908" t="s">
        <v>1741</v>
      </c>
      <c r="G1908" t="str">
        <f>IF(ISBLANK('Q 5'!H272),"",IF('Q 5'!H272="&lt;please select&gt;","",'Q 5'!H272))</f>
        <v>Wood chips</v>
      </c>
    </row>
    <row r="1909" spans="1:7" x14ac:dyDescent="0.3">
      <c r="A1909" t="s">
        <v>1847</v>
      </c>
      <c r="B1909" t="s">
        <v>1855</v>
      </c>
      <c r="C1909">
        <v>71</v>
      </c>
      <c r="D1909" t="s">
        <v>1447</v>
      </c>
      <c r="E1909" t="s">
        <v>1857</v>
      </c>
      <c r="F1909" t="s">
        <v>1741</v>
      </c>
      <c r="G1909" t="str">
        <f>IF(ISBLANK('Q 5'!H273),"",IF('Q 5'!H273="&lt;please select&gt;","",'Q 5'!H273))</f>
        <v>Wood chips</v>
      </c>
    </row>
    <row r="1910" spans="1:7" x14ac:dyDescent="0.3">
      <c r="A1910" t="s">
        <v>1847</v>
      </c>
      <c r="B1910" t="s">
        <v>1855</v>
      </c>
      <c r="C1910">
        <v>72</v>
      </c>
      <c r="D1910" t="s">
        <v>1447</v>
      </c>
      <c r="E1910" t="s">
        <v>1857</v>
      </c>
      <c r="F1910" t="s">
        <v>1741</v>
      </c>
      <c r="G1910" t="str">
        <f>IF(ISBLANK('Q 5'!H274),"",IF('Q 5'!H274="&lt;please select&gt;","",'Q 5'!H274))</f>
        <v>Wood chips</v>
      </c>
    </row>
    <row r="1911" spans="1:7" x14ac:dyDescent="0.3">
      <c r="A1911" t="s">
        <v>1847</v>
      </c>
      <c r="B1911" t="s">
        <v>1855</v>
      </c>
      <c r="C1911">
        <v>73</v>
      </c>
      <c r="D1911" t="s">
        <v>1447</v>
      </c>
      <c r="E1911" t="s">
        <v>1857</v>
      </c>
      <c r="F1911" t="s">
        <v>1741</v>
      </c>
      <c r="G1911" t="str">
        <f>IF(ISBLANK('Q 5'!H275),"",IF('Q 5'!H275="&lt;please select&gt;","",'Q 5'!H275))</f>
        <v>Waste oil</v>
      </c>
    </row>
    <row r="1912" spans="1:7" x14ac:dyDescent="0.3">
      <c r="A1912" t="s">
        <v>1847</v>
      </c>
      <c r="B1912" t="s">
        <v>1855</v>
      </c>
      <c r="C1912">
        <v>74</v>
      </c>
      <c r="D1912" t="s">
        <v>1447</v>
      </c>
      <c r="E1912" t="s">
        <v>1857</v>
      </c>
      <c r="F1912" t="s">
        <v>1741</v>
      </c>
      <c r="G1912" t="str">
        <f>IF(ISBLANK('Q 5'!H276),"",IF('Q 5'!H276="&lt;please select&gt;","",'Q 5'!H276))</f>
        <v>Waste oil</v>
      </c>
    </row>
    <row r="1913" spans="1:7" x14ac:dyDescent="0.3">
      <c r="A1913" t="s">
        <v>1847</v>
      </c>
      <c r="B1913" t="s">
        <v>1855</v>
      </c>
      <c r="C1913">
        <v>75</v>
      </c>
      <c r="D1913" t="s">
        <v>1447</v>
      </c>
      <c r="E1913" t="s">
        <v>1857</v>
      </c>
      <c r="F1913" t="s">
        <v>1741</v>
      </c>
      <c r="G1913" t="str">
        <f>IF(ISBLANK('Q 5'!H277),"",IF('Q 5'!H277="&lt;please select&gt;","",'Q 5'!H277))</f>
        <v>Wood waste</v>
      </c>
    </row>
    <row r="1914" spans="1:7" x14ac:dyDescent="0.3">
      <c r="A1914" t="s">
        <v>1847</v>
      </c>
      <c r="B1914" t="s">
        <v>1855</v>
      </c>
      <c r="C1914">
        <v>76</v>
      </c>
      <c r="D1914" t="s">
        <v>1447</v>
      </c>
      <c r="E1914" t="s">
        <v>1857</v>
      </c>
      <c r="F1914" t="s">
        <v>1741</v>
      </c>
      <c r="G1914" t="str">
        <f>IF(ISBLANK('Q 5'!H278),"",IF('Q 5'!H278="&lt;please select&gt;","",'Q 5'!H278))</f>
        <v>Wood waste</v>
      </c>
    </row>
    <row r="1915" spans="1:7" x14ac:dyDescent="0.3">
      <c r="A1915" t="s">
        <v>1847</v>
      </c>
      <c r="B1915" t="s">
        <v>1855</v>
      </c>
      <c r="C1915">
        <v>77</v>
      </c>
      <c r="D1915" t="s">
        <v>1447</v>
      </c>
      <c r="E1915" t="s">
        <v>1857</v>
      </c>
      <c r="F1915" t="s">
        <v>1741</v>
      </c>
      <c r="G1915" t="str">
        <f>IF(ISBLANK('Q 5'!H279),"",IF('Q 5'!H279="&lt;please select&gt;","",'Q 5'!H279))</f>
        <v>Wood waste</v>
      </c>
    </row>
    <row r="1916" spans="1:7" x14ac:dyDescent="0.3">
      <c r="A1916" t="s">
        <v>1847</v>
      </c>
      <c r="B1916" t="s">
        <v>1855</v>
      </c>
      <c r="C1916">
        <v>78</v>
      </c>
      <c r="D1916" t="s">
        <v>1447</v>
      </c>
      <c r="E1916" t="s">
        <v>1857</v>
      </c>
      <c r="F1916" t="s">
        <v>1741</v>
      </c>
      <c r="G1916" t="str">
        <f>IF(ISBLANK('Q 5'!H280),"",IF('Q 5'!H280="&lt;please select&gt;","",'Q 5'!H280))</f>
        <v>Wood waste</v>
      </c>
    </row>
    <row r="1917" spans="1:7" x14ac:dyDescent="0.3">
      <c r="A1917" t="s">
        <v>1847</v>
      </c>
      <c r="B1917" t="s">
        <v>1855</v>
      </c>
      <c r="C1917">
        <v>79</v>
      </c>
      <c r="D1917" t="s">
        <v>1447</v>
      </c>
      <c r="E1917" t="s">
        <v>1857</v>
      </c>
      <c r="F1917" t="s">
        <v>1741</v>
      </c>
      <c r="G1917" t="str">
        <f>IF(ISBLANK('Q 5'!H281),"",IF('Q 5'!H281="&lt;please select&gt;","",'Q 5'!H281))</f>
        <v>Wooden pellets</v>
      </c>
    </row>
    <row r="1918" spans="1:7" x14ac:dyDescent="0.3">
      <c r="A1918" t="s">
        <v>1847</v>
      </c>
      <c r="B1918" t="s">
        <v>1855</v>
      </c>
      <c r="C1918">
        <v>80</v>
      </c>
      <c r="D1918" t="s">
        <v>1447</v>
      </c>
      <c r="E1918" t="s">
        <v>1857</v>
      </c>
      <c r="F1918" t="s">
        <v>1741</v>
      </c>
      <c r="G1918" t="str">
        <f>IF(ISBLANK('Q 5'!H282),"",IF('Q 5'!H282="&lt;please select&gt;","",'Q 5'!H282))</f>
        <v>Wooden pellets</v>
      </c>
    </row>
    <row r="1919" spans="1:7" x14ac:dyDescent="0.3">
      <c r="A1919" t="s">
        <v>1847</v>
      </c>
      <c r="B1919" t="s">
        <v>1855</v>
      </c>
      <c r="C1919">
        <v>81</v>
      </c>
      <c r="D1919" t="s">
        <v>1447</v>
      </c>
      <c r="E1919" t="s">
        <v>1857</v>
      </c>
      <c r="F1919" t="s">
        <v>1741</v>
      </c>
      <c r="G1919" t="str">
        <f>IF(ISBLANK('Q 5'!H283),"",IF('Q 5'!H283="&lt;please select&gt;","",'Q 5'!H283))</f>
        <v>Fuel oil</v>
      </c>
    </row>
    <row r="1920" spans="1:7" x14ac:dyDescent="0.3">
      <c r="A1920" t="s">
        <v>1847</v>
      </c>
      <c r="B1920" t="s">
        <v>1855</v>
      </c>
      <c r="C1920">
        <v>82</v>
      </c>
      <c r="D1920" t="s">
        <v>1447</v>
      </c>
      <c r="E1920" t="s">
        <v>1857</v>
      </c>
      <c r="F1920" t="s">
        <v>1741</v>
      </c>
      <c r="G1920" t="str">
        <f>IF(ISBLANK('Q 5'!H284),"",IF('Q 5'!H284="&lt;please select&gt;","",'Q 5'!H284))</f>
        <v>Natural gas from gas grid</v>
      </c>
    </row>
    <row r="1921" spans="1:7" x14ac:dyDescent="0.3">
      <c r="A1921" t="s">
        <v>1847</v>
      </c>
      <c r="B1921" t="s">
        <v>1855</v>
      </c>
      <c r="C1921">
        <v>83</v>
      </c>
      <c r="D1921" t="s">
        <v>1447</v>
      </c>
      <c r="E1921" t="s">
        <v>1857</v>
      </c>
      <c r="F1921" t="s">
        <v>1741</v>
      </c>
      <c r="G1921" t="str">
        <f>IF(ISBLANK('Q 5'!H285),"",IF('Q 5'!H285="&lt;please select&gt;","",'Q 5'!H285))</f>
        <v>Wooden pellets</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2</v>
      </c>
    </row>
    <row r="2640" spans="1:8" x14ac:dyDescent="0.3">
      <c r="A2640" t="s">
        <v>1847</v>
      </c>
      <c r="B2640" t="s">
        <v>1855</v>
      </c>
      <c r="C2640">
        <v>2</v>
      </c>
      <c r="D2640" t="s">
        <v>1447</v>
      </c>
      <c r="E2640" t="s">
        <v>1858</v>
      </c>
      <c r="F2640" t="s">
        <v>1748</v>
      </c>
      <c r="H2640" s="165" t="str">
        <f>IF(ISBLANK('Q 5'!I204),"",IF('Q 5'!I204="&lt;please select&gt;","",'Q 5'!I204))</f>
        <v>4</v>
      </c>
    </row>
    <row r="2641" spans="1:8" x14ac:dyDescent="0.3">
      <c r="A2641" t="s">
        <v>1847</v>
      </c>
      <c r="B2641" t="s">
        <v>1855</v>
      </c>
      <c r="C2641">
        <v>3</v>
      </c>
      <c r="D2641" t="s">
        <v>1447</v>
      </c>
      <c r="E2641" t="s">
        <v>1858</v>
      </c>
      <c r="F2641" t="s">
        <v>1748</v>
      </c>
      <c r="H2641" s="165" t="str">
        <f>IF(ISBLANK('Q 5'!I205),"",IF('Q 5'!I205="&lt;please select&gt;","",'Q 5'!I205))</f>
        <v>18</v>
      </c>
    </row>
    <row r="2642" spans="1:8" x14ac:dyDescent="0.3">
      <c r="A2642" t="s">
        <v>1847</v>
      </c>
      <c r="B2642" t="s">
        <v>1855</v>
      </c>
      <c r="C2642">
        <v>4</v>
      </c>
      <c r="D2642" t="s">
        <v>1447</v>
      </c>
      <c r="E2642" t="s">
        <v>1858</v>
      </c>
      <c r="F2642" t="s">
        <v>1748</v>
      </c>
      <c r="H2642" s="165" t="str">
        <f>IF(ISBLANK('Q 5'!I206),"",IF('Q 5'!I206="&lt;please select&gt;","",'Q 5'!I206))</f>
        <v>23</v>
      </c>
    </row>
    <row r="2643" spans="1:8" x14ac:dyDescent="0.3">
      <c r="A2643" t="s">
        <v>1847</v>
      </c>
      <c r="B2643" t="s">
        <v>1855</v>
      </c>
      <c r="C2643">
        <v>5</v>
      </c>
      <c r="D2643" t="s">
        <v>1447</v>
      </c>
      <c r="E2643" t="s">
        <v>1858</v>
      </c>
      <c r="F2643" t="s">
        <v>1748</v>
      </c>
      <c r="H2643" s="165" t="str">
        <f>IF(ISBLANK('Q 5'!I207),"",IF('Q 5'!I207="&lt;please select&gt;","",'Q 5'!I207))</f>
        <v>8</v>
      </c>
    </row>
    <row r="2644" spans="1:8" x14ac:dyDescent="0.3">
      <c r="A2644" t="s">
        <v>1847</v>
      </c>
      <c r="B2644" t="s">
        <v>1855</v>
      </c>
      <c r="C2644">
        <v>6</v>
      </c>
      <c r="D2644" t="s">
        <v>1447</v>
      </c>
      <c r="E2644" t="s">
        <v>1858</v>
      </c>
      <c r="F2644" t="s">
        <v>1748</v>
      </c>
      <c r="H2644" s="165" t="str">
        <f>IF(ISBLANK('Q 5'!I208),"",IF('Q 5'!I208="&lt;please select&gt;","",'Q 5'!I208))</f>
        <v>23</v>
      </c>
    </row>
    <row r="2645" spans="1:8" x14ac:dyDescent="0.3">
      <c r="A2645" t="s">
        <v>1847</v>
      </c>
      <c r="B2645" t="s">
        <v>1855</v>
      </c>
      <c r="C2645">
        <v>7</v>
      </c>
      <c r="D2645" t="s">
        <v>1447</v>
      </c>
      <c r="E2645" t="s">
        <v>1858</v>
      </c>
      <c r="F2645" t="s">
        <v>1748</v>
      </c>
      <c r="H2645" s="165" t="str">
        <f>IF(ISBLANK('Q 5'!I209),"",IF('Q 5'!I209="&lt;please select&gt;","",'Q 5'!I209))</f>
        <v>1</v>
      </c>
    </row>
    <row r="2646" spans="1:8" x14ac:dyDescent="0.3">
      <c r="A2646" t="s">
        <v>1847</v>
      </c>
      <c r="B2646" t="s">
        <v>1855</v>
      </c>
      <c r="C2646">
        <v>8</v>
      </c>
      <c r="D2646" t="s">
        <v>1447</v>
      </c>
      <c r="E2646" t="s">
        <v>1858</v>
      </c>
      <c r="F2646" t="s">
        <v>1748</v>
      </c>
      <c r="H2646" s="165" t="str">
        <f>IF(ISBLANK('Q 5'!I210),"",IF('Q 5'!I210="&lt;please select&gt;","",'Q 5'!I210))</f>
        <v>1</v>
      </c>
    </row>
    <row r="2647" spans="1:8" x14ac:dyDescent="0.3">
      <c r="A2647" t="s">
        <v>1847</v>
      </c>
      <c r="B2647" t="s">
        <v>1855</v>
      </c>
      <c r="C2647">
        <v>9</v>
      </c>
      <c r="D2647" t="s">
        <v>1447</v>
      </c>
      <c r="E2647" t="s">
        <v>1858</v>
      </c>
      <c r="F2647" t="s">
        <v>1748</v>
      </c>
      <c r="H2647" s="165" t="str">
        <f>IF(ISBLANK('Q 5'!I211),"",IF('Q 5'!I211="&lt;please select&gt;","",'Q 5'!I211))</f>
        <v>1</v>
      </c>
    </row>
    <row r="2648" spans="1:8" x14ac:dyDescent="0.3">
      <c r="A2648" t="s">
        <v>1847</v>
      </c>
      <c r="B2648" t="s">
        <v>1855</v>
      </c>
      <c r="C2648">
        <v>10</v>
      </c>
      <c r="D2648" t="s">
        <v>1447</v>
      </c>
      <c r="E2648" t="s">
        <v>1858</v>
      </c>
      <c r="F2648" t="s">
        <v>1748</v>
      </c>
      <c r="H2648" s="165" t="str">
        <f>IF(ISBLANK('Q 5'!I212),"",IF('Q 5'!I212="&lt;please select&gt;","",'Q 5'!I212))</f>
        <v>1</v>
      </c>
    </row>
    <row r="2649" spans="1:8" x14ac:dyDescent="0.3">
      <c r="A2649" t="s">
        <v>1847</v>
      </c>
      <c r="B2649" t="s">
        <v>1855</v>
      </c>
      <c r="C2649">
        <v>11</v>
      </c>
      <c r="D2649" t="s">
        <v>1447</v>
      </c>
      <c r="E2649" t="s">
        <v>1858</v>
      </c>
      <c r="F2649" t="s">
        <v>1748</v>
      </c>
      <c r="H2649" s="165" t="str">
        <f>IF(ISBLANK('Q 5'!I213),"",IF('Q 5'!I213="&lt;please select&gt;","",'Q 5'!I213))</f>
        <v>1</v>
      </c>
    </row>
    <row r="2650" spans="1:8" x14ac:dyDescent="0.3">
      <c r="A2650" t="s">
        <v>1847</v>
      </c>
      <c r="B2650" t="s">
        <v>1855</v>
      </c>
      <c r="C2650">
        <v>12</v>
      </c>
      <c r="D2650" t="s">
        <v>1447</v>
      </c>
      <c r="E2650" t="s">
        <v>1858</v>
      </c>
      <c r="F2650" t="s">
        <v>1748</v>
      </c>
      <c r="H2650" s="165" t="str">
        <f>IF(ISBLANK('Q 5'!I214),"",IF('Q 5'!I214="&lt;please select&gt;","",'Q 5'!I214))</f>
        <v>1</v>
      </c>
    </row>
    <row r="2651" spans="1:8" x14ac:dyDescent="0.3">
      <c r="A2651" t="s">
        <v>1847</v>
      </c>
      <c r="B2651" t="s">
        <v>1855</v>
      </c>
      <c r="C2651">
        <v>13</v>
      </c>
      <c r="D2651" t="s">
        <v>1447</v>
      </c>
      <c r="E2651" t="s">
        <v>1858</v>
      </c>
      <c r="F2651" t="s">
        <v>1748</v>
      </c>
      <c r="H2651" s="165" t="str">
        <f>IF(ISBLANK('Q 5'!I215),"",IF('Q 5'!I215="&lt;please select&gt;","",'Q 5'!I215))</f>
        <v>1</v>
      </c>
    </row>
    <row r="2652" spans="1:8" x14ac:dyDescent="0.3">
      <c r="A2652" t="s">
        <v>1847</v>
      </c>
      <c r="B2652" t="s">
        <v>1855</v>
      </c>
      <c r="C2652">
        <v>14</v>
      </c>
      <c r="D2652" t="s">
        <v>1447</v>
      </c>
      <c r="E2652" t="s">
        <v>1858</v>
      </c>
      <c r="F2652" t="s">
        <v>1748</v>
      </c>
      <c r="H2652" s="165" t="str">
        <f>IF(ISBLANK('Q 5'!I216),"",IF('Q 5'!I216="&lt;please select&gt;","",'Q 5'!I216))</f>
        <v>1</v>
      </c>
    </row>
    <row r="2653" spans="1:8" x14ac:dyDescent="0.3">
      <c r="A2653" t="s">
        <v>1847</v>
      </c>
      <c r="B2653" t="s">
        <v>1855</v>
      </c>
      <c r="C2653">
        <v>15</v>
      </c>
      <c r="D2653" t="s">
        <v>1447</v>
      </c>
      <c r="E2653" t="s">
        <v>1858</v>
      </c>
      <c r="F2653" t="s">
        <v>1748</v>
      </c>
      <c r="H2653" s="165" t="str">
        <f>IF(ISBLANK('Q 5'!I217),"",IF('Q 5'!I217="&lt;please select&gt;","",'Q 5'!I217))</f>
        <v>1</v>
      </c>
    </row>
    <row r="2654" spans="1:8" x14ac:dyDescent="0.3">
      <c r="A2654" t="s">
        <v>1847</v>
      </c>
      <c r="B2654" t="s">
        <v>1855</v>
      </c>
      <c r="C2654">
        <v>16</v>
      </c>
      <c r="D2654" t="s">
        <v>1447</v>
      </c>
      <c r="E2654" t="s">
        <v>1858</v>
      </c>
      <c r="F2654" t="s">
        <v>1748</v>
      </c>
      <c r="H2654" s="165" t="str">
        <f>IF(ISBLANK('Q 5'!I218),"",IF('Q 5'!I218="&lt;please select&gt;","",'Q 5'!I218))</f>
        <v>2</v>
      </c>
    </row>
    <row r="2655" spans="1:8" x14ac:dyDescent="0.3">
      <c r="A2655" t="s">
        <v>1847</v>
      </c>
      <c r="B2655" t="s">
        <v>1855</v>
      </c>
      <c r="C2655">
        <v>17</v>
      </c>
      <c r="D2655" t="s">
        <v>1447</v>
      </c>
      <c r="E2655" t="s">
        <v>1858</v>
      </c>
      <c r="F2655" t="s">
        <v>1748</v>
      </c>
      <c r="H2655" s="165" t="str">
        <f>IF(ISBLANK('Q 5'!I219),"",IF('Q 5'!I219="&lt;please select&gt;","",'Q 5'!I219))</f>
        <v>1</v>
      </c>
    </row>
    <row r="2656" spans="1:8" x14ac:dyDescent="0.3">
      <c r="A2656" t="s">
        <v>1847</v>
      </c>
      <c r="B2656" t="s">
        <v>1855</v>
      </c>
      <c r="C2656">
        <v>18</v>
      </c>
      <c r="D2656" t="s">
        <v>1447</v>
      </c>
      <c r="E2656" t="s">
        <v>1858</v>
      </c>
      <c r="F2656" t="s">
        <v>1748</v>
      </c>
      <c r="H2656" s="165" t="str">
        <f>IF(ISBLANK('Q 5'!I220),"",IF('Q 5'!I220="&lt;please select&gt;","",'Q 5'!I220))</f>
        <v>1</v>
      </c>
    </row>
    <row r="2657" spans="1:8" x14ac:dyDescent="0.3">
      <c r="A2657" t="s">
        <v>1847</v>
      </c>
      <c r="B2657" t="s">
        <v>1855</v>
      </c>
      <c r="C2657">
        <v>19</v>
      </c>
      <c r="D2657" t="s">
        <v>1447</v>
      </c>
      <c r="E2657" t="s">
        <v>1858</v>
      </c>
      <c r="F2657" t="s">
        <v>1748</v>
      </c>
      <c r="H2657" s="165" t="str">
        <f>IF(ISBLANK('Q 5'!I221),"",IF('Q 5'!I221="&lt;please select&gt;","",'Q 5'!I221))</f>
        <v>3</v>
      </c>
    </row>
    <row r="2658" spans="1:8" x14ac:dyDescent="0.3">
      <c r="A2658" t="s">
        <v>1847</v>
      </c>
      <c r="B2658" t="s">
        <v>1855</v>
      </c>
      <c r="C2658">
        <v>20</v>
      </c>
      <c r="D2658" t="s">
        <v>1447</v>
      </c>
      <c r="E2658" t="s">
        <v>1858</v>
      </c>
      <c r="F2658" t="s">
        <v>1748</v>
      </c>
      <c r="H2658" s="165" t="str">
        <f>IF(ISBLANK('Q 5'!I222),"",IF('Q 5'!I222="&lt;please select&gt;","",'Q 5'!I222))</f>
        <v>3</v>
      </c>
    </row>
    <row r="2659" spans="1:8" x14ac:dyDescent="0.3">
      <c r="A2659" t="s">
        <v>1847</v>
      </c>
      <c r="B2659" t="s">
        <v>1855</v>
      </c>
      <c r="C2659">
        <v>21</v>
      </c>
      <c r="D2659" t="s">
        <v>1447</v>
      </c>
      <c r="E2659" t="s">
        <v>1858</v>
      </c>
      <c r="F2659" t="s">
        <v>1748</v>
      </c>
      <c r="H2659" s="165" t="str">
        <f>IF(ISBLANK('Q 5'!I223),"",IF('Q 5'!I223="&lt;please select&gt;","",'Q 5'!I223))</f>
        <v>3</v>
      </c>
    </row>
    <row r="2660" spans="1:8" x14ac:dyDescent="0.3">
      <c r="A2660" t="s">
        <v>1847</v>
      </c>
      <c r="B2660" t="s">
        <v>1855</v>
      </c>
      <c r="C2660">
        <v>22</v>
      </c>
      <c r="D2660" t="s">
        <v>1447</v>
      </c>
      <c r="E2660" t="s">
        <v>1858</v>
      </c>
      <c r="F2660" t="s">
        <v>1748</v>
      </c>
      <c r="H2660" s="165" t="str">
        <f>IF(ISBLANK('Q 5'!I224),"",IF('Q 5'!I224="&lt;please select&gt;","",'Q 5'!I224))</f>
        <v>14</v>
      </c>
    </row>
    <row r="2661" spans="1:8" x14ac:dyDescent="0.3">
      <c r="A2661" t="s">
        <v>1847</v>
      </c>
      <c r="B2661" t="s">
        <v>1855</v>
      </c>
      <c r="C2661">
        <v>23</v>
      </c>
      <c r="D2661" t="s">
        <v>1447</v>
      </c>
      <c r="E2661" t="s">
        <v>1858</v>
      </c>
      <c r="F2661" t="s">
        <v>1748</v>
      </c>
      <c r="H2661" s="165" t="str">
        <f>IF(ISBLANK('Q 5'!I225),"",IF('Q 5'!I225="&lt;please select&gt;","",'Q 5'!I225))</f>
        <v>1</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1</v>
      </c>
    </row>
    <row r="2664" spans="1:8" x14ac:dyDescent="0.3">
      <c r="A2664" t="s">
        <v>1847</v>
      </c>
      <c r="B2664" t="s">
        <v>1855</v>
      </c>
      <c r="C2664">
        <v>26</v>
      </c>
      <c r="D2664" t="s">
        <v>1447</v>
      </c>
      <c r="E2664" t="s">
        <v>1858</v>
      </c>
      <c r="F2664" t="s">
        <v>1748</v>
      </c>
      <c r="H2664" s="165" t="str">
        <f>IF(ISBLANK('Q 5'!I228),"",IF('Q 5'!I228="&lt;please select&gt;","",'Q 5'!I228))</f>
        <v>10</v>
      </c>
    </row>
    <row r="2665" spans="1:8" x14ac:dyDescent="0.3">
      <c r="A2665" t="s">
        <v>1847</v>
      </c>
      <c r="B2665" t="s">
        <v>1855</v>
      </c>
      <c r="C2665">
        <v>27</v>
      </c>
      <c r="D2665" t="s">
        <v>1447</v>
      </c>
      <c r="E2665" t="s">
        <v>1858</v>
      </c>
      <c r="F2665" t="s">
        <v>1748</v>
      </c>
      <c r="H2665" s="165" t="str">
        <f>IF(ISBLANK('Q 5'!I229),"",IF('Q 5'!I229="&lt;please select&gt;","",'Q 5'!I229))</f>
        <v>3</v>
      </c>
    </row>
    <row r="2666" spans="1:8" x14ac:dyDescent="0.3">
      <c r="A2666" t="s">
        <v>1847</v>
      </c>
      <c r="B2666" t="s">
        <v>1855</v>
      </c>
      <c r="C2666">
        <v>28</v>
      </c>
      <c r="D2666" t="s">
        <v>1447</v>
      </c>
      <c r="E2666" t="s">
        <v>1858</v>
      </c>
      <c r="F2666" t="s">
        <v>1748</v>
      </c>
      <c r="H2666" s="165" t="str">
        <f>IF(ISBLANK('Q 5'!I230),"",IF('Q 5'!I230="&lt;please select&gt;","",'Q 5'!I230))</f>
        <v>3</v>
      </c>
    </row>
    <row r="2667" spans="1:8" x14ac:dyDescent="0.3">
      <c r="A2667" t="s">
        <v>1847</v>
      </c>
      <c r="B2667" t="s">
        <v>1855</v>
      </c>
      <c r="C2667">
        <v>29</v>
      </c>
      <c r="D2667" t="s">
        <v>1447</v>
      </c>
      <c r="E2667" t="s">
        <v>1858</v>
      </c>
      <c r="F2667" t="s">
        <v>1748</v>
      </c>
      <c r="H2667" s="165" t="str">
        <f>IF(ISBLANK('Q 5'!I231),"",IF('Q 5'!I231="&lt;please select&gt;","",'Q 5'!I231))</f>
        <v>175</v>
      </c>
    </row>
    <row r="2668" spans="1:8" x14ac:dyDescent="0.3">
      <c r="A2668" t="s">
        <v>1847</v>
      </c>
      <c r="B2668" t="s">
        <v>1855</v>
      </c>
      <c r="C2668">
        <v>30</v>
      </c>
      <c r="D2668" t="s">
        <v>1447</v>
      </c>
      <c r="E2668" t="s">
        <v>1858</v>
      </c>
      <c r="F2668" t="s">
        <v>1748</v>
      </c>
      <c r="H2668" s="165" t="str">
        <f>IF(ISBLANK('Q 5'!I232),"",IF('Q 5'!I232="&lt;please select&gt;","",'Q 5'!I232))</f>
        <v>41</v>
      </c>
    </row>
    <row r="2669" spans="1:8" x14ac:dyDescent="0.3">
      <c r="A2669" t="s">
        <v>1847</v>
      </c>
      <c r="B2669" t="s">
        <v>1855</v>
      </c>
      <c r="C2669">
        <v>31</v>
      </c>
      <c r="D2669" t="s">
        <v>1447</v>
      </c>
      <c r="E2669" t="s">
        <v>1858</v>
      </c>
      <c r="F2669" t="s">
        <v>1748</v>
      </c>
      <c r="H2669" s="165" t="str">
        <f>IF(ISBLANK('Q 5'!I233),"",IF('Q 5'!I233="&lt;please select&gt;","",'Q 5'!I233))</f>
        <v>42</v>
      </c>
    </row>
    <row r="2670" spans="1:8" x14ac:dyDescent="0.3">
      <c r="A2670" t="s">
        <v>1847</v>
      </c>
      <c r="B2670" t="s">
        <v>1855</v>
      </c>
      <c r="C2670">
        <v>32</v>
      </c>
      <c r="D2670" t="s">
        <v>1447</v>
      </c>
      <c r="E2670" t="s">
        <v>1858</v>
      </c>
      <c r="F2670" t="s">
        <v>1748</v>
      </c>
      <c r="H2670" s="165" t="str">
        <f>IF(ISBLANK('Q 5'!I234),"",IF('Q 5'!I234="&lt;please select&gt;","",'Q 5'!I234))</f>
        <v>6</v>
      </c>
    </row>
    <row r="2671" spans="1:8" x14ac:dyDescent="0.3">
      <c r="A2671" t="s">
        <v>1847</v>
      </c>
      <c r="B2671" t="s">
        <v>1855</v>
      </c>
      <c r="C2671">
        <v>33</v>
      </c>
      <c r="D2671" t="s">
        <v>1447</v>
      </c>
      <c r="E2671" t="s">
        <v>1858</v>
      </c>
      <c r="F2671" t="s">
        <v>1748</v>
      </c>
      <c r="H2671" s="165" t="str">
        <f>IF(ISBLANK('Q 5'!I235),"",IF('Q 5'!I235="&lt;please select&gt;","",'Q 5'!I235))</f>
        <v>2</v>
      </c>
    </row>
    <row r="2672" spans="1:8" x14ac:dyDescent="0.3">
      <c r="A2672" t="s">
        <v>1847</v>
      </c>
      <c r="B2672" t="s">
        <v>1855</v>
      </c>
      <c r="C2672">
        <v>34</v>
      </c>
      <c r="D2672" t="s">
        <v>1447</v>
      </c>
      <c r="E2672" t="s">
        <v>1858</v>
      </c>
      <c r="F2672" t="s">
        <v>1748</v>
      </c>
      <c r="H2672" s="165" t="str">
        <f>IF(ISBLANK('Q 5'!I236),"",IF('Q 5'!I236="&lt;please select&gt;","",'Q 5'!I236))</f>
        <v>4</v>
      </c>
    </row>
    <row r="2673" spans="1:8" x14ac:dyDescent="0.3">
      <c r="A2673" t="s">
        <v>1847</v>
      </c>
      <c r="B2673" t="s">
        <v>1855</v>
      </c>
      <c r="C2673">
        <v>35</v>
      </c>
      <c r="D2673" t="s">
        <v>1447</v>
      </c>
      <c r="E2673" t="s">
        <v>1858</v>
      </c>
      <c r="F2673" t="s">
        <v>1748</v>
      </c>
      <c r="H2673" s="165" t="str">
        <f>IF(ISBLANK('Q 5'!I237),"",IF('Q 5'!I237="&lt;please select&gt;","",'Q 5'!I237))</f>
        <v>8</v>
      </c>
    </row>
    <row r="2674" spans="1:8" x14ac:dyDescent="0.3">
      <c r="A2674" t="s">
        <v>1847</v>
      </c>
      <c r="B2674" t="s">
        <v>1855</v>
      </c>
      <c r="C2674">
        <v>36</v>
      </c>
      <c r="D2674" t="s">
        <v>1447</v>
      </c>
      <c r="E2674" t="s">
        <v>1858</v>
      </c>
      <c r="F2674" t="s">
        <v>1748</v>
      </c>
      <c r="H2674" s="165" t="str">
        <f>IF(ISBLANK('Q 5'!I238),"",IF('Q 5'!I238="&lt;please select&gt;","",'Q 5'!I238))</f>
        <v>2</v>
      </c>
    </row>
    <row r="2675" spans="1:8" x14ac:dyDescent="0.3">
      <c r="A2675" t="s">
        <v>1847</v>
      </c>
      <c r="B2675" t="s">
        <v>1855</v>
      </c>
      <c r="C2675">
        <v>37</v>
      </c>
      <c r="D2675" t="s">
        <v>1447</v>
      </c>
      <c r="E2675" t="s">
        <v>1858</v>
      </c>
      <c r="F2675" t="s">
        <v>1748</v>
      </c>
      <c r="H2675" s="165" t="str">
        <f>IF(ISBLANK('Q 5'!I239),"",IF('Q 5'!I239="&lt;please select&gt;","",'Q 5'!I239))</f>
        <v>1</v>
      </c>
    </row>
    <row r="2676" spans="1:8" x14ac:dyDescent="0.3">
      <c r="A2676" t="s">
        <v>1847</v>
      </c>
      <c r="B2676" t="s">
        <v>1855</v>
      </c>
      <c r="C2676">
        <v>38</v>
      </c>
      <c r="D2676" t="s">
        <v>1447</v>
      </c>
      <c r="E2676" t="s">
        <v>1858</v>
      </c>
      <c r="F2676" t="s">
        <v>1748</v>
      </c>
      <c r="H2676" s="165" t="str">
        <f>IF(ISBLANK('Q 5'!I240),"",IF('Q 5'!I240="&lt;please select&gt;","",'Q 5'!I240))</f>
        <v>2</v>
      </c>
    </row>
    <row r="2677" spans="1:8" x14ac:dyDescent="0.3">
      <c r="A2677" t="s">
        <v>1847</v>
      </c>
      <c r="B2677" t="s">
        <v>1855</v>
      </c>
      <c r="C2677">
        <v>39</v>
      </c>
      <c r="D2677" t="s">
        <v>1447</v>
      </c>
      <c r="E2677" t="s">
        <v>1858</v>
      </c>
      <c r="F2677" t="s">
        <v>1748</v>
      </c>
      <c r="H2677" s="165" t="str">
        <f>IF(ISBLANK('Q 5'!I241),"",IF('Q 5'!I241="&lt;please select&gt;","",'Q 5'!I241))</f>
        <v>1</v>
      </c>
    </row>
    <row r="2678" spans="1:8" x14ac:dyDescent="0.3">
      <c r="A2678" t="s">
        <v>1847</v>
      </c>
      <c r="B2678" t="s">
        <v>1855</v>
      </c>
      <c r="C2678">
        <v>40</v>
      </c>
      <c r="D2678" t="s">
        <v>1447</v>
      </c>
      <c r="E2678" t="s">
        <v>1858</v>
      </c>
      <c r="F2678" t="s">
        <v>1748</v>
      </c>
      <c r="H2678" s="165" t="str">
        <f>IF(ISBLANK('Q 5'!I242),"",IF('Q 5'!I242="&lt;please select&gt;","",'Q 5'!I242))</f>
        <v>5</v>
      </c>
    </row>
    <row r="2679" spans="1:8" x14ac:dyDescent="0.3">
      <c r="A2679" t="s">
        <v>1847</v>
      </c>
      <c r="B2679" t="s">
        <v>1855</v>
      </c>
      <c r="C2679">
        <v>41</v>
      </c>
      <c r="D2679" t="s">
        <v>1447</v>
      </c>
      <c r="E2679" t="s">
        <v>1858</v>
      </c>
      <c r="F2679" t="s">
        <v>1748</v>
      </c>
      <c r="H2679" s="165" t="str">
        <f>IF(ISBLANK('Q 5'!I243),"",IF('Q 5'!I243="&lt;please select&gt;","",'Q 5'!I243))</f>
        <v>2</v>
      </c>
    </row>
    <row r="2680" spans="1:8" x14ac:dyDescent="0.3">
      <c r="A2680" t="s">
        <v>1847</v>
      </c>
      <c r="B2680" t="s">
        <v>1855</v>
      </c>
      <c r="C2680">
        <v>42</v>
      </c>
      <c r="D2680" t="s">
        <v>1447</v>
      </c>
      <c r="E2680" t="s">
        <v>1858</v>
      </c>
      <c r="F2680" t="s">
        <v>1748</v>
      </c>
      <c r="H2680" s="165" t="str">
        <f>IF(ISBLANK('Q 5'!I244),"",IF('Q 5'!I244="&lt;please select&gt;","",'Q 5'!I244))</f>
        <v>2</v>
      </c>
    </row>
    <row r="2681" spans="1:8" x14ac:dyDescent="0.3">
      <c r="A2681" t="s">
        <v>1847</v>
      </c>
      <c r="B2681" t="s">
        <v>1855</v>
      </c>
      <c r="C2681">
        <v>43</v>
      </c>
      <c r="D2681" t="s">
        <v>1447</v>
      </c>
      <c r="E2681" t="s">
        <v>1858</v>
      </c>
      <c r="F2681" t="s">
        <v>1748</v>
      </c>
      <c r="H2681" s="165" t="str">
        <f>IF(ISBLANK('Q 5'!I245),"",IF('Q 5'!I245="&lt;please select&gt;","",'Q 5'!I245))</f>
        <v>1</v>
      </c>
    </row>
    <row r="2682" spans="1:8" x14ac:dyDescent="0.3">
      <c r="A2682" t="s">
        <v>1847</v>
      </c>
      <c r="B2682" t="s">
        <v>1855</v>
      </c>
      <c r="C2682">
        <v>44</v>
      </c>
      <c r="D2682" t="s">
        <v>1447</v>
      </c>
      <c r="E2682" t="s">
        <v>1858</v>
      </c>
      <c r="F2682" t="s">
        <v>1748</v>
      </c>
      <c r="H2682" s="165" t="str">
        <f>IF(ISBLANK('Q 5'!I246),"",IF('Q 5'!I246="&lt;please select&gt;","",'Q 5'!I246))</f>
        <v>1</v>
      </c>
    </row>
    <row r="2683" spans="1:8" x14ac:dyDescent="0.3">
      <c r="A2683" t="s">
        <v>1847</v>
      </c>
      <c r="B2683" t="s">
        <v>1855</v>
      </c>
      <c r="C2683">
        <v>45</v>
      </c>
      <c r="D2683" t="s">
        <v>1447</v>
      </c>
      <c r="E2683" t="s">
        <v>1858</v>
      </c>
      <c r="F2683" t="s">
        <v>1748</v>
      </c>
      <c r="H2683" s="165" t="str">
        <f>IF(ISBLANK('Q 5'!I247),"",IF('Q 5'!I247="&lt;please select&gt;","",'Q 5'!I247))</f>
        <v>1</v>
      </c>
    </row>
    <row r="2684" spans="1:8" x14ac:dyDescent="0.3">
      <c r="A2684" t="s">
        <v>1847</v>
      </c>
      <c r="B2684" t="s">
        <v>1855</v>
      </c>
      <c r="C2684">
        <v>46</v>
      </c>
      <c r="D2684" t="s">
        <v>1447</v>
      </c>
      <c r="E2684" t="s">
        <v>1858</v>
      </c>
      <c r="F2684" t="s">
        <v>1748</v>
      </c>
      <c r="H2684" s="165" t="str">
        <f>IF(ISBLANK('Q 5'!I248),"",IF('Q 5'!I248="&lt;please select&gt;","",'Q 5'!I248))</f>
        <v>46</v>
      </c>
    </row>
    <row r="2685" spans="1:8" x14ac:dyDescent="0.3">
      <c r="A2685" t="s">
        <v>1847</v>
      </c>
      <c r="B2685" t="s">
        <v>1855</v>
      </c>
      <c r="C2685">
        <v>47</v>
      </c>
      <c r="D2685" t="s">
        <v>1447</v>
      </c>
      <c r="E2685" t="s">
        <v>1858</v>
      </c>
      <c r="F2685" t="s">
        <v>1748</v>
      </c>
      <c r="H2685" s="165" t="str">
        <f>IF(ISBLANK('Q 5'!I249),"",IF('Q 5'!I249="&lt;please select&gt;","",'Q 5'!I249))</f>
        <v>6</v>
      </c>
    </row>
    <row r="2686" spans="1:8" x14ac:dyDescent="0.3">
      <c r="A2686" t="s">
        <v>1847</v>
      </c>
      <c r="B2686" t="s">
        <v>1855</v>
      </c>
      <c r="C2686">
        <v>48</v>
      </c>
      <c r="D2686" t="s">
        <v>1447</v>
      </c>
      <c r="E2686" t="s">
        <v>1858</v>
      </c>
      <c r="F2686" t="s">
        <v>1748</v>
      </c>
      <c r="H2686" s="165" t="str">
        <f>IF(ISBLANK('Q 5'!I250),"",IF('Q 5'!I250="&lt;please select&gt;","",'Q 5'!I250))</f>
        <v>6</v>
      </c>
    </row>
    <row r="2687" spans="1:8" x14ac:dyDescent="0.3">
      <c r="A2687" t="s">
        <v>1847</v>
      </c>
      <c r="B2687" t="s">
        <v>1855</v>
      </c>
      <c r="C2687">
        <v>49</v>
      </c>
      <c r="D2687" t="s">
        <v>1447</v>
      </c>
      <c r="E2687" t="s">
        <v>1858</v>
      </c>
      <c r="F2687" t="s">
        <v>1748</v>
      </c>
      <c r="H2687" s="165" t="str">
        <f>IF(ISBLANK('Q 5'!I251),"",IF('Q 5'!I251="&lt;please select&gt;","",'Q 5'!I251))</f>
        <v>2</v>
      </c>
    </row>
    <row r="2688" spans="1:8" x14ac:dyDescent="0.3">
      <c r="A2688" t="s">
        <v>1847</v>
      </c>
      <c r="B2688" t="s">
        <v>1855</v>
      </c>
      <c r="C2688">
        <v>50</v>
      </c>
      <c r="D2688" t="s">
        <v>1447</v>
      </c>
      <c r="E2688" t="s">
        <v>1858</v>
      </c>
      <c r="F2688" t="s">
        <v>1748</v>
      </c>
      <c r="H2688" s="165" t="str">
        <f>IF(ISBLANK('Q 5'!I252),"",IF('Q 5'!I252="&lt;please select&gt;","",'Q 5'!I252))</f>
        <v>3</v>
      </c>
    </row>
    <row r="2689" spans="1:8" x14ac:dyDescent="0.3">
      <c r="A2689" t="s">
        <v>1847</v>
      </c>
      <c r="B2689" t="s">
        <v>1855</v>
      </c>
      <c r="C2689">
        <v>51</v>
      </c>
      <c r="D2689" t="s">
        <v>1447</v>
      </c>
      <c r="E2689" t="s">
        <v>1858</v>
      </c>
      <c r="F2689" t="s">
        <v>1748</v>
      </c>
      <c r="H2689" s="165" t="str">
        <f>IF(ISBLANK('Q 5'!I253),"",IF('Q 5'!I253="&lt;please select&gt;","",'Q 5'!I253))</f>
        <v>1</v>
      </c>
    </row>
    <row r="2690" spans="1:8" x14ac:dyDescent="0.3">
      <c r="A2690" t="s">
        <v>1847</v>
      </c>
      <c r="B2690" t="s">
        <v>1855</v>
      </c>
      <c r="C2690">
        <v>52</v>
      </c>
      <c r="D2690" t="s">
        <v>1447</v>
      </c>
      <c r="E2690" t="s">
        <v>1858</v>
      </c>
      <c r="F2690" t="s">
        <v>1748</v>
      </c>
      <c r="H2690" s="165" t="str">
        <f>IF(ISBLANK('Q 5'!I254),"",IF('Q 5'!I254="&lt;please select&gt;","",'Q 5'!I254))</f>
        <v>2</v>
      </c>
    </row>
    <row r="2691" spans="1:8" x14ac:dyDescent="0.3">
      <c r="A2691" t="s">
        <v>1847</v>
      </c>
      <c r="B2691" t="s">
        <v>1855</v>
      </c>
      <c r="C2691">
        <v>53</v>
      </c>
      <c r="D2691" t="s">
        <v>1447</v>
      </c>
      <c r="E2691" t="s">
        <v>1858</v>
      </c>
      <c r="F2691" t="s">
        <v>1748</v>
      </c>
      <c r="H2691" s="165" t="str">
        <f>IF(ISBLANK('Q 5'!I255),"",IF('Q 5'!I255="&lt;please select&gt;","",'Q 5'!I255))</f>
        <v>4</v>
      </c>
    </row>
    <row r="2692" spans="1:8" x14ac:dyDescent="0.3">
      <c r="A2692" t="s">
        <v>1847</v>
      </c>
      <c r="B2692" t="s">
        <v>1855</v>
      </c>
      <c r="C2692">
        <v>54</v>
      </c>
      <c r="D2692" t="s">
        <v>1447</v>
      </c>
      <c r="E2692" t="s">
        <v>1858</v>
      </c>
      <c r="F2692" t="s">
        <v>1748</v>
      </c>
      <c r="H2692" s="165" t="str">
        <f>IF(ISBLANK('Q 5'!I256),"",IF('Q 5'!I256="&lt;please select&gt;","",'Q 5'!I256))</f>
        <v>4</v>
      </c>
    </row>
    <row r="2693" spans="1:8" x14ac:dyDescent="0.3">
      <c r="A2693" t="s">
        <v>1847</v>
      </c>
      <c r="B2693" t="s">
        <v>1855</v>
      </c>
      <c r="C2693">
        <v>55</v>
      </c>
      <c r="D2693" t="s">
        <v>1447</v>
      </c>
      <c r="E2693" t="s">
        <v>1858</v>
      </c>
      <c r="F2693" t="s">
        <v>1748</v>
      </c>
      <c r="H2693" s="165" t="str">
        <f>IF(ISBLANK('Q 5'!I257),"",IF('Q 5'!I257="&lt;please select&gt;","",'Q 5'!I257))</f>
        <v>2</v>
      </c>
    </row>
    <row r="2694" spans="1:8" x14ac:dyDescent="0.3">
      <c r="A2694" t="s">
        <v>1847</v>
      </c>
      <c r="B2694" t="s">
        <v>1855</v>
      </c>
      <c r="C2694">
        <v>56</v>
      </c>
      <c r="D2694" t="s">
        <v>1447</v>
      </c>
      <c r="E2694" t="s">
        <v>1858</v>
      </c>
      <c r="F2694" t="s">
        <v>1748</v>
      </c>
      <c r="H2694" s="165" t="str">
        <f>IF(ISBLANK('Q 5'!I258),"",IF('Q 5'!I258="&lt;please select&gt;","",'Q 5'!I258))</f>
        <v>5</v>
      </c>
    </row>
    <row r="2695" spans="1:8" x14ac:dyDescent="0.3">
      <c r="A2695" t="s">
        <v>1847</v>
      </c>
      <c r="B2695" t="s">
        <v>1855</v>
      </c>
      <c r="C2695">
        <v>57</v>
      </c>
      <c r="D2695" t="s">
        <v>1447</v>
      </c>
      <c r="E2695" t="s">
        <v>1858</v>
      </c>
      <c r="F2695" t="s">
        <v>1748</v>
      </c>
      <c r="H2695" s="165" t="str">
        <f>IF(ISBLANK('Q 5'!I259),"",IF('Q 5'!I259="&lt;please select&gt;","",'Q 5'!I259))</f>
        <v>2</v>
      </c>
    </row>
    <row r="2696" spans="1:8" x14ac:dyDescent="0.3">
      <c r="A2696" t="s">
        <v>1847</v>
      </c>
      <c r="B2696" t="s">
        <v>1855</v>
      </c>
      <c r="C2696">
        <v>58</v>
      </c>
      <c r="D2696" t="s">
        <v>1447</v>
      </c>
      <c r="E2696" t="s">
        <v>1858</v>
      </c>
      <c r="F2696" t="s">
        <v>1748</v>
      </c>
      <c r="H2696" s="165" t="str">
        <f>IF(ISBLANK('Q 5'!I260),"",IF('Q 5'!I260="&lt;please select&gt;","",'Q 5'!I260))</f>
        <v>2</v>
      </c>
    </row>
    <row r="2697" spans="1:8" x14ac:dyDescent="0.3">
      <c r="A2697" t="s">
        <v>1847</v>
      </c>
      <c r="B2697" t="s">
        <v>1855</v>
      </c>
      <c r="C2697">
        <v>59</v>
      </c>
      <c r="D2697" t="s">
        <v>1447</v>
      </c>
      <c r="E2697" t="s">
        <v>1858</v>
      </c>
      <c r="F2697" t="s">
        <v>1748</v>
      </c>
      <c r="H2697" s="165" t="str">
        <f>IF(ISBLANK('Q 5'!I261),"",IF('Q 5'!I261="&lt;please select&gt;","",'Q 5'!I261))</f>
        <v>1</v>
      </c>
    </row>
    <row r="2698" spans="1:8" x14ac:dyDescent="0.3">
      <c r="A2698" t="s">
        <v>1847</v>
      </c>
      <c r="B2698" t="s">
        <v>1855</v>
      </c>
      <c r="C2698">
        <v>60</v>
      </c>
      <c r="D2698" t="s">
        <v>1447</v>
      </c>
      <c r="E2698" t="s">
        <v>1858</v>
      </c>
      <c r="F2698" t="s">
        <v>1748</v>
      </c>
      <c r="H2698" s="165" t="str">
        <f>IF(ISBLANK('Q 5'!I262),"",IF('Q 5'!I262="&lt;please select&gt;","",'Q 5'!I262))</f>
        <v>1</v>
      </c>
    </row>
    <row r="2699" spans="1:8" x14ac:dyDescent="0.3">
      <c r="A2699" t="s">
        <v>1847</v>
      </c>
      <c r="B2699" t="s">
        <v>1855</v>
      </c>
      <c r="C2699">
        <v>61</v>
      </c>
      <c r="D2699" t="s">
        <v>1447</v>
      </c>
      <c r="E2699" t="s">
        <v>1858</v>
      </c>
      <c r="F2699" t="s">
        <v>1748</v>
      </c>
      <c r="H2699" s="165" t="str">
        <f>IF(ISBLANK('Q 5'!I263),"",IF('Q 5'!I263="&lt;please select&gt;","",'Q 5'!I263))</f>
        <v>2</v>
      </c>
    </row>
    <row r="2700" spans="1:8" x14ac:dyDescent="0.3">
      <c r="A2700" t="s">
        <v>1847</v>
      </c>
      <c r="B2700" t="s">
        <v>1855</v>
      </c>
      <c r="C2700">
        <v>62</v>
      </c>
      <c r="D2700" t="s">
        <v>1447</v>
      </c>
      <c r="E2700" t="s">
        <v>1858</v>
      </c>
      <c r="F2700" t="s">
        <v>1748</v>
      </c>
      <c r="H2700" s="165" t="str">
        <f>IF(ISBLANK('Q 5'!I264),"",IF('Q 5'!I264="&lt;please select&gt;","",'Q 5'!I264))</f>
        <v>1</v>
      </c>
    </row>
    <row r="2701" spans="1:8" x14ac:dyDescent="0.3">
      <c r="A2701" t="s">
        <v>1847</v>
      </c>
      <c r="B2701" t="s">
        <v>1855</v>
      </c>
      <c r="C2701">
        <v>63</v>
      </c>
      <c r="D2701" t="s">
        <v>1447</v>
      </c>
      <c r="E2701" t="s">
        <v>1858</v>
      </c>
      <c r="F2701" t="s">
        <v>1748</v>
      </c>
      <c r="H2701" s="165" t="str">
        <f>IF(ISBLANK('Q 5'!I265),"",IF('Q 5'!I265="&lt;please select&gt;","",'Q 5'!I265))</f>
        <v>8</v>
      </c>
    </row>
    <row r="2702" spans="1:8" x14ac:dyDescent="0.3">
      <c r="A2702" t="s">
        <v>1847</v>
      </c>
      <c r="B2702" t="s">
        <v>1855</v>
      </c>
      <c r="C2702">
        <v>64</v>
      </c>
      <c r="D2702" t="s">
        <v>1447</v>
      </c>
      <c r="E2702" t="s">
        <v>1858</v>
      </c>
      <c r="F2702" t="s">
        <v>1748</v>
      </c>
      <c r="H2702" s="165" t="str">
        <f>IF(ISBLANK('Q 5'!I266),"",IF('Q 5'!I266="&lt;please select&gt;","",'Q 5'!I266))</f>
        <v>1</v>
      </c>
    </row>
    <row r="2703" spans="1:8" x14ac:dyDescent="0.3">
      <c r="A2703" t="s">
        <v>1847</v>
      </c>
      <c r="B2703" t="s">
        <v>1855</v>
      </c>
      <c r="C2703">
        <v>65</v>
      </c>
      <c r="D2703" t="s">
        <v>1447</v>
      </c>
      <c r="E2703" t="s">
        <v>1858</v>
      </c>
      <c r="F2703" t="s">
        <v>1748</v>
      </c>
      <c r="H2703" s="165" t="str">
        <f>IF(ISBLANK('Q 5'!I267),"",IF('Q 5'!I267="&lt;please select&gt;","",'Q 5'!I267))</f>
        <v>15</v>
      </c>
    </row>
    <row r="2704" spans="1:8" x14ac:dyDescent="0.3">
      <c r="A2704" t="s">
        <v>1847</v>
      </c>
      <c r="B2704" t="s">
        <v>1855</v>
      </c>
      <c r="C2704">
        <v>66</v>
      </c>
      <c r="D2704" t="s">
        <v>1447</v>
      </c>
      <c r="E2704" t="s">
        <v>1858</v>
      </c>
      <c r="F2704" t="s">
        <v>1748</v>
      </c>
      <c r="H2704" s="165" t="str">
        <f>IF(ISBLANK('Q 5'!I268),"",IF('Q 5'!I268="&lt;please select&gt;","",'Q 5'!I268))</f>
        <v>8</v>
      </c>
    </row>
    <row r="2705" spans="1:8" x14ac:dyDescent="0.3">
      <c r="A2705" t="s">
        <v>1847</v>
      </c>
      <c r="B2705" t="s">
        <v>1855</v>
      </c>
      <c r="C2705">
        <v>67</v>
      </c>
      <c r="D2705" t="s">
        <v>1447</v>
      </c>
      <c r="E2705" t="s">
        <v>1858</v>
      </c>
      <c r="F2705" t="s">
        <v>1748</v>
      </c>
      <c r="H2705" s="165" t="str">
        <f>IF(ISBLANK('Q 5'!I269),"",IF('Q 5'!I269="&lt;please select&gt;","",'Q 5'!I269))</f>
        <v>4</v>
      </c>
    </row>
    <row r="2706" spans="1:8" x14ac:dyDescent="0.3">
      <c r="A2706" t="s">
        <v>1847</v>
      </c>
      <c r="B2706" t="s">
        <v>1855</v>
      </c>
      <c r="C2706">
        <v>68</v>
      </c>
      <c r="D2706" t="s">
        <v>1447</v>
      </c>
      <c r="E2706" t="s">
        <v>1858</v>
      </c>
      <c r="F2706" t="s">
        <v>1748</v>
      </c>
      <c r="H2706" s="165" t="str">
        <f>IF(ISBLANK('Q 5'!I270),"",IF('Q 5'!I270="&lt;please select&gt;","",'Q 5'!I270))</f>
        <v>2</v>
      </c>
    </row>
    <row r="2707" spans="1:8" x14ac:dyDescent="0.3">
      <c r="A2707" t="s">
        <v>1847</v>
      </c>
      <c r="B2707" t="s">
        <v>1855</v>
      </c>
      <c r="C2707">
        <v>69</v>
      </c>
      <c r="D2707" t="s">
        <v>1447</v>
      </c>
      <c r="E2707" t="s">
        <v>1858</v>
      </c>
      <c r="F2707" t="s">
        <v>1748</v>
      </c>
      <c r="H2707" s="165" t="str">
        <f>IF(ISBLANK('Q 5'!I271),"",IF('Q 5'!I271="&lt;please select&gt;","",'Q 5'!I271))</f>
        <v>23</v>
      </c>
    </row>
    <row r="2708" spans="1:8" x14ac:dyDescent="0.3">
      <c r="A2708" t="s">
        <v>1847</v>
      </c>
      <c r="B2708" t="s">
        <v>1855</v>
      </c>
      <c r="C2708">
        <v>70</v>
      </c>
      <c r="D2708" t="s">
        <v>1447</v>
      </c>
      <c r="E2708" t="s">
        <v>1858</v>
      </c>
      <c r="F2708" t="s">
        <v>1748</v>
      </c>
      <c r="H2708" s="165" t="str">
        <f>IF(ISBLANK('Q 5'!I272),"",IF('Q 5'!I272="&lt;please select&gt;","",'Q 5'!I272))</f>
        <v>4</v>
      </c>
    </row>
    <row r="2709" spans="1:8" x14ac:dyDescent="0.3">
      <c r="A2709" t="s">
        <v>1847</v>
      </c>
      <c r="B2709" t="s">
        <v>1855</v>
      </c>
      <c r="C2709">
        <v>71</v>
      </c>
      <c r="D2709" t="s">
        <v>1447</v>
      </c>
      <c r="E2709" t="s">
        <v>1858</v>
      </c>
      <c r="F2709" t="s">
        <v>1748</v>
      </c>
      <c r="H2709" s="165" t="str">
        <f>IF(ISBLANK('Q 5'!I273),"",IF('Q 5'!I273="&lt;please select&gt;","",'Q 5'!I273))</f>
        <v>8</v>
      </c>
    </row>
    <row r="2710" spans="1:8" x14ac:dyDescent="0.3">
      <c r="A2710" t="s">
        <v>1847</v>
      </c>
      <c r="B2710" t="s">
        <v>1855</v>
      </c>
      <c r="C2710">
        <v>72</v>
      </c>
      <c r="D2710" t="s">
        <v>1447</v>
      </c>
      <c r="E2710" t="s">
        <v>1858</v>
      </c>
      <c r="F2710" t="s">
        <v>1748</v>
      </c>
      <c r="H2710" s="165" t="str">
        <f>IF(ISBLANK('Q 5'!I274),"",IF('Q 5'!I274="&lt;please select&gt;","",'Q 5'!I274))</f>
        <v>1</v>
      </c>
    </row>
    <row r="2711" spans="1:8" x14ac:dyDescent="0.3">
      <c r="A2711" t="s">
        <v>1847</v>
      </c>
      <c r="B2711" t="s">
        <v>1855</v>
      </c>
      <c r="C2711">
        <v>73</v>
      </c>
      <c r="D2711" t="s">
        <v>1447</v>
      </c>
      <c r="E2711" t="s">
        <v>1858</v>
      </c>
      <c r="F2711" t="s">
        <v>1748</v>
      </c>
      <c r="H2711" s="165" t="str">
        <f>IF(ISBLANK('Q 5'!I275),"",IF('Q 5'!I275="&lt;please select&gt;","",'Q 5'!I275))</f>
        <v>1</v>
      </c>
    </row>
    <row r="2712" spans="1:8" x14ac:dyDescent="0.3">
      <c r="A2712" t="s">
        <v>1847</v>
      </c>
      <c r="B2712" t="s">
        <v>1855</v>
      </c>
      <c r="C2712">
        <v>74</v>
      </c>
      <c r="D2712" t="s">
        <v>1447</v>
      </c>
      <c r="E2712" t="s">
        <v>1858</v>
      </c>
      <c r="F2712" t="s">
        <v>1748</v>
      </c>
      <c r="H2712" s="165" t="str">
        <f>IF(ISBLANK('Q 5'!I276),"",IF('Q 5'!I276="&lt;please select&gt;","",'Q 5'!I276))</f>
        <v>1</v>
      </c>
    </row>
    <row r="2713" spans="1:8" x14ac:dyDescent="0.3">
      <c r="A2713" t="s">
        <v>1847</v>
      </c>
      <c r="B2713" t="s">
        <v>1855</v>
      </c>
      <c r="C2713">
        <v>75</v>
      </c>
      <c r="D2713" t="s">
        <v>1447</v>
      </c>
      <c r="E2713" t="s">
        <v>1858</v>
      </c>
      <c r="F2713" t="s">
        <v>1748</v>
      </c>
      <c r="H2713" s="165" t="str">
        <f>IF(ISBLANK('Q 5'!I277),"",IF('Q 5'!I277="&lt;please select&gt;","",'Q 5'!I277))</f>
        <v>11</v>
      </c>
    </row>
    <row r="2714" spans="1:8" x14ac:dyDescent="0.3">
      <c r="A2714" t="s">
        <v>1847</v>
      </c>
      <c r="B2714" t="s">
        <v>1855</v>
      </c>
      <c r="C2714">
        <v>76</v>
      </c>
      <c r="D2714" t="s">
        <v>1447</v>
      </c>
      <c r="E2714" t="s">
        <v>1858</v>
      </c>
      <c r="F2714" t="s">
        <v>1748</v>
      </c>
      <c r="H2714" s="165" t="str">
        <f>IF(ISBLANK('Q 5'!I278),"",IF('Q 5'!I278="&lt;please select&gt;","",'Q 5'!I278))</f>
        <v>2</v>
      </c>
    </row>
    <row r="2715" spans="1:8" x14ac:dyDescent="0.3">
      <c r="A2715" t="s">
        <v>1847</v>
      </c>
      <c r="B2715" t="s">
        <v>1855</v>
      </c>
      <c r="C2715">
        <v>77</v>
      </c>
      <c r="D2715" t="s">
        <v>1447</v>
      </c>
      <c r="E2715" t="s">
        <v>1858</v>
      </c>
      <c r="F2715" t="s">
        <v>1748</v>
      </c>
      <c r="H2715" s="165" t="str">
        <f>IF(ISBLANK('Q 5'!I279),"",IF('Q 5'!I279="&lt;please select&gt;","",'Q 5'!I279))</f>
        <v>6</v>
      </c>
    </row>
    <row r="2716" spans="1:8" x14ac:dyDescent="0.3">
      <c r="A2716" t="s">
        <v>1847</v>
      </c>
      <c r="B2716" t="s">
        <v>1855</v>
      </c>
      <c r="C2716">
        <v>78</v>
      </c>
      <c r="D2716" t="s">
        <v>1447</v>
      </c>
      <c r="E2716" t="s">
        <v>1858</v>
      </c>
      <c r="F2716" t="s">
        <v>1748</v>
      </c>
      <c r="H2716" s="165" t="str">
        <f>IF(ISBLANK('Q 5'!I280),"",IF('Q 5'!I280="&lt;please select&gt;","",'Q 5'!I280))</f>
        <v>1</v>
      </c>
    </row>
    <row r="2717" spans="1:8" x14ac:dyDescent="0.3">
      <c r="A2717" t="s">
        <v>1847</v>
      </c>
      <c r="B2717" t="s">
        <v>1855</v>
      </c>
      <c r="C2717">
        <v>79</v>
      </c>
      <c r="D2717" t="s">
        <v>1447</v>
      </c>
      <c r="E2717" t="s">
        <v>1858</v>
      </c>
      <c r="F2717" t="s">
        <v>1748</v>
      </c>
      <c r="H2717" s="165" t="str">
        <f>IF(ISBLANK('Q 5'!I281),"",IF('Q 5'!I281="&lt;please select&gt;","",'Q 5'!I281))</f>
        <v>9</v>
      </c>
    </row>
    <row r="2718" spans="1:8" x14ac:dyDescent="0.3">
      <c r="A2718" t="s">
        <v>1847</v>
      </c>
      <c r="B2718" t="s">
        <v>1855</v>
      </c>
      <c r="C2718">
        <v>80</v>
      </c>
      <c r="D2718" t="s">
        <v>1447</v>
      </c>
      <c r="E2718" t="s">
        <v>1858</v>
      </c>
      <c r="F2718" t="s">
        <v>1748</v>
      </c>
      <c r="H2718" s="165" t="str">
        <f>IF(ISBLANK('Q 5'!I282),"",IF('Q 5'!I282="&lt;please select&gt;","",'Q 5'!I282))</f>
        <v>2</v>
      </c>
    </row>
    <row r="2719" spans="1:8" x14ac:dyDescent="0.3">
      <c r="A2719" t="s">
        <v>1847</v>
      </c>
      <c r="B2719" t="s">
        <v>1855</v>
      </c>
      <c r="C2719">
        <v>81</v>
      </c>
      <c r="D2719" t="s">
        <v>1447</v>
      </c>
      <c r="E2719" t="s">
        <v>1858</v>
      </c>
      <c r="F2719" t="s">
        <v>1748</v>
      </c>
      <c r="H2719" s="165" t="str">
        <f>IF(ISBLANK('Q 5'!I283),"",IF('Q 5'!I283="&lt;please select&gt;","",'Q 5'!I283))</f>
        <v>1</v>
      </c>
    </row>
    <row r="2720" spans="1:8" x14ac:dyDescent="0.3">
      <c r="A2720" t="s">
        <v>1847</v>
      </c>
      <c r="B2720" t="s">
        <v>1855</v>
      </c>
      <c r="C2720">
        <v>82</v>
      </c>
      <c r="D2720" t="s">
        <v>1447</v>
      </c>
      <c r="E2720" t="s">
        <v>1858</v>
      </c>
      <c r="F2720" t="s">
        <v>1748</v>
      </c>
      <c r="H2720" s="165" t="str">
        <f>IF(ISBLANK('Q 5'!I284),"",IF('Q 5'!I284="&lt;please select&gt;","",'Q 5'!I284))</f>
        <v>4</v>
      </c>
    </row>
    <row r="2721" spans="1:8" x14ac:dyDescent="0.3">
      <c r="A2721" t="s">
        <v>1847</v>
      </c>
      <c r="B2721" t="s">
        <v>1855</v>
      </c>
      <c r="C2721">
        <v>83</v>
      </c>
      <c r="D2721" t="s">
        <v>1447</v>
      </c>
      <c r="E2721" t="s">
        <v>1858</v>
      </c>
      <c r="F2721" t="s">
        <v>1748</v>
      </c>
      <c r="H2721" s="165" t="str">
        <f>IF(ISBLANK('Q 5'!I285),"",IF('Q 5'!I285="&lt;please select&gt;","",'Q 5'!I285))</f>
        <v>1</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Fuel gas (natural gas) (production offshore)</v>
      </c>
    </row>
    <row r="3440" spans="1:8" x14ac:dyDescent="0.3">
      <c r="A3440" t="s">
        <v>1859</v>
      </c>
      <c r="B3440" t="s">
        <v>1860</v>
      </c>
      <c r="C3440">
        <v>2</v>
      </c>
      <c r="D3440" t="s">
        <v>1447</v>
      </c>
      <c r="E3440" t="s">
        <v>1861</v>
      </c>
      <c r="F3440" t="s">
        <v>1741</v>
      </c>
      <c r="G3440" t="str">
        <f>IF(ISBLANK('Q 5'!C1009),"",IF('Q 5'!C1009="&lt;please select&gt;","",'Q 5'!C1009))</f>
        <v>PetCoke</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5</v>
      </c>
    </row>
    <row r="3465" spans="1:8" x14ac:dyDescent="0.3">
      <c r="A3465" t="s">
        <v>1859</v>
      </c>
      <c r="B3465" t="s">
        <v>1860</v>
      </c>
      <c r="C3465">
        <v>2</v>
      </c>
      <c r="D3465" t="s">
        <v>1447</v>
      </c>
      <c r="E3465" t="s">
        <v>1862</v>
      </c>
      <c r="F3465" t="s">
        <v>1748</v>
      </c>
      <c r="H3465" s="165" t="str">
        <f>IF(ISBLANK('Q 5'!E1009),"",IF('Q 5'!E1009="&lt;please select&gt;","",'Q 5'!E1009))</f>
        <v>1</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8</v>
      </c>
    </row>
    <row r="3490" spans="1:8" x14ac:dyDescent="0.3">
      <c r="A3490" t="s">
        <v>1859</v>
      </c>
      <c r="B3490" t="s">
        <v>1860</v>
      </c>
      <c r="C3490">
        <v>2</v>
      </c>
      <c r="D3490" t="s">
        <v>1447</v>
      </c>
      <c r="E3490" t="s">
        <v>1863</v>
      </c>
      <c r="F3490" t="s">
        <v>1748</v>
      </c>
      <c r="H3490" s="165" t="str">
        <f>IF(ISBLANK('Q 5'!F1009),"",IF('Q 5'!F1009="&lt;please select&gt;","",'Q 5'!F1009))</f>
        <v>2</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Yes</v>
      </c>
    </row>
    <row r="3515" spans="1:11" x14ac:dyDescent="0.3">
      <c r="A3515" t="s">
        <v>1859</v>
      </c>
      <c r="B3515" t="s">
        <v>1860</v>
      </c>
      <c r="C3515">
        <v>2</v>
      </c>
      <c r="D3515" t="s">
        <v>1447</v>
      </c>
      <c r="E3515" t="s">
        <v>1864</v>
      </c>
      <c r="F3515" t="s">
        <v>1759</v>
      </c>
      <c r="K3515" t="str">
        <f>IF(ISBLANK('Q 5'!G1009),"",IF('Q 5'!G1009="&lt;please select&gt;","",'Q 5'!G1009))</f>
        <v>Yes</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Measurement based methodology</v>
      </c>
    </row>
    <row r="3895" spans="1:11" x14ac:dyDescent="0.3">
      <c r="A3895" t="s">
        <v>1874</v>
      </c>
      <c r="B3895" t="s">
        <v>1875</v>
      </c>
      <c r="C3895">
        <v>2</v>
      </c>
      <c r="D3895" t="s">
        <v>1447</v>
      </c>
      <c r="E3895" t="s">
        <v>1876</v>
      </c>
      <c r="F3895" t="s">
        <v>1737</v>
      </c>
      <c r="K3895" t="str">
        <f>IF(ISBLANK('Q 5'!C1099),"",IF('Q 5'!C1099="&lt;please select&gt;","",'Q 5'!C1099))</f>
        <v>Calculation based methodology</v>
      </c>
    </row>
    <row r="3896" spans="1:11" x14ac:dyDescent="0.3">
      <c r="A3896" t="s">
        <v>1874</v>
      </c>
      <c r="B3896" t="s">
        <v>1875</v>
      </c>
      <c r="C3896">
        <v>3</v>
      </c>
      <c r="D3896" t="s">
        <v>1447</v>
      </c>
      <c r="E3896" t="s">
        <v>1876</v>
      </c>
      <c r="F3896" t="s">
        <v>1737</v>
      </c>
      <c r="K3896" t="str">
        <f>IF(ISBLANK('Q 5'!C1100),"",IF('Q 5'!C1100="&lt;please select&gt;","",'Q 5'!C1100))</f>
        <v>Calculation based methodology</v>
      </c>
    </row>
    <row r="3897" spans="1:11" x14ac:dyDescent="0.3">
      <c r="A3897" t="s">
        <v>1874</v>
      </c>
      <c r="B3897" t="s">
        <v>1875</v>
      </c>
      <c r="C3897">
        <v>4</v>
      </c>
      <c r="D3897" t="s">
        <v>1447</v>
      </c>
      <c r="E3897" t="s">
        <v>1876</v>
      </c>
      <c r="F3897" t="s">
        <v>1737</v>
      </c>
      <c r="K3897" t="str">
        <f>IF(ISBLANK('Q 5'!C1101),"",IF('Q 5'!C1101="&lt;please select&gt;","",'Q 5'!C1101))</f>
        <v>Calculation based methodology</v>
      </c>
    </row>
    <row r="3898" spans="1:11" x14ac:dyDescent="0.3">
      <c r="A3898" t="s">
        <v>1874</v>
      </c>
      <c r="B3898" t="s">
        <v>1875</v>
      </c>
      <c r="C3898">
        <v>5</v>
      </c>
      <c r="D3898" t="s">
        <v>1447</v>
      </c>
      <c r="E3898" t="s">
        <v>1876</v>
      </c>
      <c r="F3898" t="s">
        <v>1737</v>
      </c>
      <c r="K3898" t="str">
        <f>IF(ISBLANK('Q 5'!C1102),"",IF('Q 5'!C1102="&lt;please select&gt;","",'Q 5'!C1102))</f>
        <v>Calculation based methodology</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20 - Combustion of fuels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20 - Combustion of fuels as specified in Annex I of Directive 2003/87/EC</v>
      </c>
    </row>
    <row r="3918" spans="1:11" x14ac:dyDescent="0.3">
      <c r="A3918" t="s">
        <v>1874</v>
      </c>
      <c r="B3918" t="s">
        <v>1875</v>
      </c>
      <c r="C3918">
        <v>3</v>
      </c>
      <c r="D3918" t="s">
        <v>1447</v>
      </c>
      <c r="E3918" t="s">
        <v>1877</v>
      </c>
      <c r="F3918" t="s">
        <v>1737</v>
      </c>
      <c r="K3918" t="str">
        <f>IF(ISBLANK('Q 5'!E1100),"",IF('Q 5'!E1100="&lt;please select&gt;","",'Q 5'!E1100))</f>
        <v>32 - Manufacture of ceramic products as specified in Annex I of Directive 2003/87/EC</v>
      </c>
    </row>
    <row r="3919" spans="1:11" x14ac:dyDescent="0.3">
      <c r="A3919" t="s">
        <v>1874</v>
      </c>
      <c r="B3919" t="s">
        <v>1875</v>
      </c>
      <c r="C3919">
        <v>4</v>
      </c>
      <c r="D3919" t="s">
        <v>1447</v>
      </c>
      <c r="E3919" t="s">
        <v>1877</v>
      </c>
      <c r="F3919" t="s">
        <v>1737</v>
      </c>
      <c r="K3919" t="str">
        <f>IF(ISBLANK('Q 5'!E1101),"",IF('Q 5'!E1101="&lt;please select&gt;","",'Q 5'!E1101))</f>
        <v>33 - Manufacture of mineral wool insulation material using glass, rock or slag as specified in Annex I of Directive 2003/87/EC</v>
      </c>
    </row>
    <row r="3920" spans="1:11" x14ac:dyDescent="0.3">
      <c r="A3920" t="s">
        <v>1874</v>
      </c>
      <c r="B3920" t="s">
        <v>1875</v>
      </c>
      <c r="C3920">
        <v>5</v>
      </c>
      <c r="D3920" t="s">
        <v>1447</v>
      </c>
      <c r="E3920" t="s">
        <v>1877</v>
      </c>
      <c r="F3920" t="s">
        <v>1737</v>
      </c>
      <c r="K3920" t="str">
        <f>IF(ISBLANK('Q 5'!E1102),"",IF('Q 5'!E1102="&lt;please select&gt;","",'Q 5'!E1102))</f>
        <v>21 - Refining of mineral oil</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12</v>
      </c>
    </row>
    <row r="3939" spans="1:11" x14ac:dyDescent="0.3">
      <c r="A3939" t="s">
        <v>1874</v>
      </c>
      <c r="B3939" t="s">
        <v>1875</v>
      </c>
      <c r="C3939">
        <v>2</v>
      </c>
      <c r="D3939" t="s">
        <v>1447</v>
      </c>
      <c r="E3939" t="s">
        <v>1878</v>
      </c>
      <c r="F3939" t="s">
        <v>1748</v>
      </c>
      <c r="H3939" s="165" t="str">
        <f>IF(ISBLANK('Q 5'!H1099),"",IF('Q 5'!H1099="&lt;please select&gt;","",'Q 5'!H1099))</f>
        <v>11</v>
      </c>
    </row>
    <row r="3940" spans="1:11" x14ac:dyDescent="0.3">
      <c r="A3940" t="s">
        <v>1874</v>
      </c>
      <c r="B3940" t="s">
        <v>1875</v>
      </c>
      <c r="C3940">
        <v>3</v>
      </c>
      <c r="D3940" t="s">
        <v>1447</v>
      </c>
      <c r="E3940" t="s">
        <v>1878</v>
      </c>
      <c r="F3940" t="s">
        <v>1748</v>
      </c>
      <c r="H3940" s="165" t="str">
        <f>IF(ISBLANK('Q 5'!H1100),"",IF('Q 5'!H1100="&lt;please select&gt;","",'Q 5'!H1100))</f>
        <v>1</v>
      </c>
    </row>
    <row r="3941" spans="1:11" x14ac:dyDescent="0.3">
      <c r="A3941" t="s">
        <v>1874</v>
      </c>
      <c r="B3941" t="s">
        <v>1875</v>
      </c>
      <c r="C3941">
        <v>4</v>
      </c>
      <c r="D3941" t="s">
        <v>1447</v>
      </c>
      <c r="E3941" t="s">
        <v>1878</v>
      </c>
      <c r="F3941" t="s">
        <v>1748</v>
      </c>
      <c r="H3941" s="165" t="str">
        <f>IF(ISBLANK('Q 5'!H1101),"",IF('Q 5'!H1101="&lt;please select&gt;","",'Q 5'!H1101))</f>
        <v>2</v>
      </c>
    </row>
    <row r="3942" spans="1:11" x14ac:dyDescent="0.3">
      <c r="A3942" t="s">
        <v>1874</v>
      </c>
      <c r="B3942" t="s">
        <v>1875</v>
      </c>
      <c r="C3942">
        <v>5</v>
      </c>
      <c r="D3942" t="s">
        <v>1447</v>
      </c>
      <c r="E3942" t="s">
        <v>1878</v>
      </c>
      <c r="F3942" t="s">
        <v>1748</v>
      </c>
      <c r="H3942" s="165" t="str">
        <f>IF(ISBLANK('Q 5'!H1102),"",IF('Q 5'!H1102="&lt;please select&gt;","",'Q 5'!H1102))</f>
        <v>1</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A</v>
      </c>
    </row>
    <row r="4002" spans="1:11" x14ac:dyDescent="0.3">
      <c r="A4002" t="s">
        <v>1886</v>
      </c>
      <c r="B4002" t="s">
        <v>1887</v>
      </c>
      <c r="C4002">
        <v>2</v>
      </c>
      <c r="D4002" t="s">
        <v>1447</v>
      </c>
      <c r="E4002" t="s">
        <v>1856</v>
      </c>
      <c r="F4002" t="s">
        <v>1737</v>
      </c>
      <c r="K4002" t="str">
        <f>IF(ISBLANK('Q 5'!C1145),"",IF('Q 5'!C1145="&lt;please select&gt;","",'Q 5'!C1145))</f>
        <v>Category A</v>
      </c>
    </row>
    <row r="4003" spans="1:11" x14ac:dyDescent="0.3">
      <c r="A4003" t="s">
        <v>1886</v>
      </c>
      <c r="B4003" t="s">
        <v>1887</v>
      </c>
      <c r="C4003">
        <v>3</v>
      </c>
      <c r="D4003" t="s">
        <v>1447</v>
      </c>
      <c r="E4003" t="s">
        <v>1856</v>
      </c>
      <c r="F4003" t="s">
        <v>1737</v>
      </c>
      <c r="K4003" t="str">
        <f>IF(ISBLANK('Q 5'!C1146),"",IF('Q 5'!C1146="&lt;please select&gt;","",'Q 5'!C1146))</f>
        <v>Category B</v>
      </c>
    </row>
    <row r="4004" spans="1:11" x14ac:dyDescent="0.3">
      <c r="A4004" t="s">
        <v>1886</v>
      </c>
      <c r="B4004" t="s">
        <v>1887</v>
      </c>
      <c r="C4004">
        <v>4</v>
      </c>
      <c r="D4004" t="s">
        <v>1447</v>
      </c>
      <c r="E4004" t="s">
        <v>1856</v>
      </c>
      <c r="F4004" t="s">
        <v>1737</v>
      </c>
      <c r="K4004" t="str">
        <f>IF(ISBLANK('Q 5'!C1147),"",IF('Q 5'!C1147="&lt;please select&gt;","",'Q 5'!C1147))</f>
        <v>Category B</v>
      </c>
    </row>
    <row r="4005" spans="1:11" x14ac:dyDescent="0.3">
      <c r="A4005" t="s">
        <v>1886</v>
      </c>
      <c r="B4005" t="s">
        <v>1887</v>
      </c>
      <c r="C4005">
        <v>5</v>
      </c>
      <c r="D4005" t="s">
        <v>1447</v>
      </c>
      <c r="E4005" t="s">
        <v>1856</v>
      </c>
      <c r="F4005" t="s">
        <v>1737</v>
      </c>
      <c r="K4005" t="str">
        <f>IF(ISBLANK('Q 5'!C1148),"",IF('Q 5'!C1148="&lt;please select&gt;","",'Q 5'!C1148))</f>
        <v>Category C</v>
      </c>
    </row>
    <row r="4006" spans="1:11" x14ac:dyDescent="0.3">
      <c r="A4006" t="s">
        <v>1886</v>
      </c>
      <c r="B4006" t="s">
        <v>1887</v>
      </c>
      <c r="C4006">
        <v>6</v>
      </c>
      <c r="D4006" t="s">
        <v>1447</v>
      </c>
      <c r="E4006" t="s">
        <v>1856</v>
      </c>
      <c r="F4006" t="s">
        <v>1737</v>
      </c>
      <c r="K4006" t="str">
        <f>IF(ISBLANK('Q 5'!C1149),"",IF('Q 5'!C1149="&lt;please select&gt;","",'Q 5'!C1149))</f>
        <v>Category C</v>
      </c>
    </row>
    <row r="4007" spans="1:11" x14ac:dyDescent="0.3">
      <c r="A4007" t="s">
        <v>1886</v>
      </c>
      <c r="B4007" t="s">
        <v>1887</v>
      </c>
      <c r="C4007">
        <v>7</v>
      </c>
      <c r="D4007" t="s">
        <v>1447</v>
      </c>
      <c r="E4007" t="s">
        <v>1856</v>
      </c>
      <c r="F4007" t="s">
        <v>1737</v>
      </c>
      <c r="K4007" t="str">
        <f>IF(ISBLANK('Q 5'!C1150),"",IF('Q 5'!C1150="&lt;please select&gt;","",'Q 5'!C1150))</f>
        <v>Category B</v>
      </c>
    </row>
    <row r="4008" spans="1:11" x14ac:dyDescent="0.3">
      <c r="A4008" t="s">
        <v>1886</v>
      </c>
      <c r="B4008" t="s">
        <v>1887</v>
      </c>
      <c r="C4008">
        <v>8</v>
      </c>
      <c r="D4008" t="s">
        <v>1447</v>
      </c>
      <c r="E4008" t="s">
        <v>1856</v>
      </c>
      <c r="F4008" t="s">
        <v>1737</v>
      </c>
      <c r="K4008" t="str">
        <f>IF(ISBLANK('Q 5'!C1151),"",IF('Q 5'!C1151="&lt;please select&gt;","",'Q 5'!C1151))</f>
        <v>Category B</v>
      </c>
    </row>
    <row r="4009" spans="1:11" x14ac:dyDescent="0.3">
      <c r="A4009" t="s">
        <v>1886</v>
      </c>
      <c r="B4009" t="s">
        <v>1887</v>
      </c>
      <c r="C4009">
        <v>9</v>
      </c>
      <c r="D4009" t="s">
        <v>1447</v>
      </c>
      <c r="E4009" t="s">
        <v>1856</v>
      </c>
      <c r="F4009" t="s">
        <v>1737</v>
      </c>
      <c r="K4009" t="str">
        <f>IF(ISBLANK('Q 5'!C1152),"",IF('Q 5'!C1152="&lt;please select&gt;","",'Q 5'!C1152))</f>
        <v>Category C</v>
      </c>
    </row>
    <row r="4010" spans="1:11" x14ac:dyDescent="0.3">
      <c r="A4010" t="s">
        <v>1886</v>
      </c>
      <c r="B4010" t="s">
        <v>1887</v>
      </c>
      <c r="C4010">
        <v>10</v>
      </c>
      <c r="D4010" t="s">
        <v>1447</v>
      </c>
      <c r="E4010" t="s">
        <v>1856</v>
      </c>
      <c r="F4010" t="s">
        <v>1737</v>
      </c>
      <c r="K4010" t="str">
        <f>IF(ISBLANK('Q 5'!C1153),"",IF('Q 5'!C1153="&lt;please select&gt;","",'Q 5'!C1153))</f>
        <v>Category C</v>
      </c>
    </row>
    <row r="4011" spans="1:11" x14ac:dyDescent="0.3">
      <c r="A4011" t="s">
        <v>1886</v>
      </c>
      <c r="B4011" t="s">
        <v>1887</v>
      </c>
      <c r="C4011">
        <v>11</v>
      </c>
      <c r="D4011" t="s">
        <v>1447</v>
      </c>
      <c r="E4011" t="s">
        <v>1856</v>
      </c>
      <c r="F4011" t="s">
        <v>1737</v>
      </c>
      <c r="K4011" t="str">
        <f>IF(ISBLANK('Q 5'!C1154),"",IF('Q 5'!C1154="&lt;please select&gt;","",'Q 5'!C1154))</f>
        <v>Category C</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20 - Combustion of fuels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35 - Production of pulp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21 - Refining of mineral oil</v>
      </c>
    </row>
    <row r="4075" spans="1:11" x14ac:dyDescent="0.3">
      <c r="A4075" t="s">
        <v>1886</v>
      </c>
      <c r="B4075" t="s">
        <v>1887</v>
      </c>
      <c r="C4075">
        <v>5</v>
      </c>
      <c r="D4075" t="s">
        <v>1447</v>
      </c>
      <c r="E4075" t="s">
        <v>1888</v>
      </c>
      <c r="F4075" t="s">
        <v>1737</v>
      </c>
      <c r="K4075" t="str">
        <f>IF(ISBLANK('Q 5'!D1148),"",IF('Q 5'!D1148="&lt;please select&gt;","",'Q 5'!D1148))</f>
        <v>20 - Combustion of fuels as specified in Annex I of Directive 2003/87/EC</v>
      </c>
    </row>
    <row r="4076" spans="1:11" x14ac:dyDescent="0.3">
      <c r="A4076" t="s">
        <v>1886</v>
      </c>
      <c r="B4076" t="s">
        <v>1887</v>
      </c>
      <c r="C4076">
        <v>6</v>
      </c>
      <c r="D4076" t="s">
        <v>1447</v>
      </c>
      <c r="E4076" t="s">
        <v>1888</v>
      </c>
      <c r="F4076" t="s">
        <v>1737</v>
      </c>
      <c r="K4076" t="str">
        <f>IF(ISBLANK('Q 5'!D1149),"",IF('Q 5'!D1149="&lt;please select&gt;","",'Q 5'!D1149))</f>
        <v>21 - Refining of mineral oil</v>
      </c>
    </row>
    <row r="4077" spans="1:11" x14ac:dyDescent="0.3">
      <c r="A4077" t="s">
        <v>1886</v>
      </c>
      <c r="B4077" t="s">
        <v>1887</v>
      </c>
      <c r="C4077">
        <v>7</v>
      </c>
      <c r="D4077" t="s">
        <v>1447</v>
      </c>
      <c r="E4077" t="s">
        <v>1888</v>
      </c>
      <c r="F4077" t="s">
        <v>1737</v>
      </c>
      <c r="K4077" t="str">
        <f>IF(ISBLANK('Q 5'!D1150),"",IF('Q 5'!D1150="&lt;please select&gt;","",'Q 5'!D1150))</f>
        <v>20 - Combustion of fuels as specified in Annex I of Directive 2003/87/EC</v>
      </c>
    </row>
    <row r="4078" spans="1:11" x14ac:dyDescent="0.3">
      <c r="A4078" t="s">
        <v>1886</v>
      </c>
      <c r="B4078" t="s">
        <v>1887</v>
      </c>
      <c r="C4078">
        <v>8</v>
      </c>
      <c r="D4078" t="s">
        <v>1447</v>
      </c>
      <c r="E4078" t="s">
        <v>1888</v>
      </c>
      <c r="F4078" t="s">
        <v>1737</v>
      </c>
      <c r="K4078" t="str">
        <f>IF(ISBLANK('Q 5'!D1151),"",IF('Q 5'!D1151="&lt;please select&gt;","",'Q 5'!D1151))</f>
        <v>25 - Production or processing of ferrous metals as specified in Annex I of Directive 2003/87/EC</v>
      </c>
    </row>
    <row r="4079" spans="1:11" x14ac:dyDescent="0.3">
      <c r="A4079" t="s">
        <v>1886</v>
      </c>
      <c r="B4079" t="s">
        <v>1887</v>
      </c>
      <c r="C4079">
        <v>9</v>
      </c>
      <c r="D4079" t="s">
        <v>1447</v>
      </c>
      <c r="E4079" t="s">
        <v>1888</v>
      </c>
      <c r="F4079" t="s">
        <v>1737</v>
      </c>
      <c r="K4079" t="str">
        <f>IF(ISBLANK('Q 5'!D1152),"",IF('Q 5'!D1152="&lt;please select&gt;","",'Q 5'!D1152))</f>
        <v>20 - Combustion of fuels as specified in Annex I of Directive 2003/87/EC</v>
      </c>
    </row>
    <row r="4080" spans="1:11" x14ac:dyDescent="0.3">
      <c r="A4080" t="s">
        <v>1886</v>
      </c>
      <c r="B4080" t="s">
        <v>1887</v>
      </c>
      <c r="C4080">
        <v>10</v>
      </c>
      <c r="D4080" t="s">
        <v>1447</v>
      </c>
      <c r="E4080" t="s">
        <v>1888</v>
      </c>
      <c r="F4080" t="s">
        <v>1737</v>
      </c>
      <c r="K4080" t="str">
        <f>IF(ISBLANK('Q 5'!D1153),"",IF('Q 5'!D1153="&lt;please select&gt;","",'Q 5'!D1153))</f>
        <v>21 - Refining of mineral oil</v>
      </c>
    </row>
    <row r="4081" spans="1:11" x14ac:dyDescent="0.3">
      <c r="A4081" t="s">
        <v>1886</v>
      </c>
      <c r="B4081" t="s">
        <v>1887</v>
      </c>
      <c r="C4081">
        <v>11</v>
      </c>
      <c r="D4081" t="s">
        <v>1447</v>
      </c>
      <c r="E4081" t="s">
        <v>1888</v>
      </c>
      <c r="F4081" t="s">
        <v>1737</v>
      </c>
      <c r="K4081" t="str">
        <f>IF(ISBLANK('Q 5'!D1154),"",IF('Q 5'!D1154="&lt;please select&gt;","",'Q 5'!D1154))</f>
        <v>29 - Production of cement clinker in rotary kilns as specified in Annex I of Directive 2003/87/ EC</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according to Article 69(4)</v>
      </c>
    </row>
    <row r="4142" spans="1:11" x14ac:dyDescent="0.3">
      <c r="A4142" t="s">
        <v>1886</v>
      </c>
      <c r="B4142" t="s">
        <v>1887</v>
      </c>
      <c r="C4142">
        <v>2</v>
      </c>
      <c r="D4142" t="s">
        <v>1447</v>
      </c>
      <c r="E4142" t="s">
        <v>1889</v>
      </c>
      <c r="F4142" t="s">
        <v>1737</v>
      </c>
      <c r="K4142" t="str">
        <f>IF(ISBLANK('Q 5'!F1145),"",IF('Q 5'!F1145="&lt;please select&gt;","",'Q 5'!F1145))</f>
        <v>Improvement report according to Article 69(4)</v>
      </c>
    </row>
    <row r="4143" spans="1:11" x14ac:dyDescent="0.3">
      <c r="A4143" t="s">
        <v>1886</v>
      </c>
      <c r="B4143" t="s">
        <v>1887</v>
      </c>
      <c r="C4143">
        <v>3</v>
      </c>
      <c r="D4143" t="s">
        <v>1447</v>
      </c>
      <c r="E4143" t="s">
        <v>1889</v>
      </c>
      <c r="F4143" t="s">
        <v>1737</v>
      </c>
      <c r="K4143" t="str">
        <f>IF(ISBLANK('Q 5'!F1146),"",IF('Q 5'!F1146="&lt;please select&gt;","",'Q 5'!F1146))</f>
        <v>Improvement report according to Article 69(4)</v>
      </c>
    </row>
    <row r="4144" spans="1:11" x14ac:dyDescent="0.3">
      <c r="A4144" t="s">
        <v>1886</v>
      </c>
      <c r="B4144" t="s">
        <v>1887</v>
      </c>
      <c r="C4144">
        <v>4</v>
      </c>
      <c r="D4144" t="s">
        <v>1447</v>
      </c>
      <c r="E4144" t="s">
        <v>1889</v>
      </c>
      <c r="F4144" t="s">
        <v>1737</v>
      </c>
      <c r="K4144" t="str">
        <f>IF(ISBLANK('Q 5'!F1147),"",IF('Q 5'!F1147="&lt;please select&gt;","",'Q 5'!F1147))</f>
        <v>Improvement report according to Article 69(4)</v>
      </c>
    </row>
    <row r="4145" spans="1:11" x14ac:dyDescent="0.3">
      <c r="A4145" t="s">
        <v>1886</v>
      </c>
      <c r="B4145" t="s">
        <v>1887</v>
      </c>
      <c r="C4145">
        <v>5</v>
      </c>
      <c r="D4145" t="s">
        <v>1447</v>
      </c>
      <c r="E4145" t="s">
        <v>1889</v>
      </c>
      <c r="F4145" t="s">
        <v>1737</v>
      </c>
      <c r="K4145" t="str">
        <f>IF(ISBLANK('Q 5'!F1148),"",IF('Q 5'!F1148="&lt;please select&gt;","",'Q 5'!F1148))</f>
        <v>Improvement report according to Article 69(4)</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in accordance with Article 69(1)</v>
      </c>
    </row>
    <row r="4148" spans="1:11" x14ac:dyDescent="0.3">
      <c r="A4148" t="s">
        <v>1886</v>
      </c>
      <c r="B4148" t="s">
        <v>1887</v>
      </c>
      <c r="C4148">
        <v>8</v>
      </c>
      <c r="D4148" t="s">
        <v>1447</v>
      </c>
      <c r="E4148" t="s">
        <v>1889</v>
      </c>
      <c r="F4148" t="s">
        <v>1737</v>
      </c>
      <c r="K4148" t="str">
        <f>IF(ISBLANK('Q 5'!F1151),"",IF('Q 5'!F1151="&lt;please select&gt;","",'Q 5'!F1151))</f>
        <v>Improvement report in accordance with Article 69(1)</v>
      </c>
    </row>
    <row r="4149" spans="1:11" x14ac:dyDescent="0.3">
      <c r="A4149" t="s">
        <v>1886</v>
      </c>
      <c r="B4149" t="s">
        <v>1887</v>
      </c>
      <c r="C4149">
        <v>9</v>
      </c>
      <c r="D4149" t="s">
        <v>1447</v>
      </c>
      <c r="E4149" t="s">
        <v>1889</v>
      </c>
      <c r="F4149" t="s">
        <v>1737</v>
      </c>
      <c r="K4149" t="str">
        <f>IF(ISBLANK('Q 5'!F1152),"",IF('Q 5'!F1152="&lt;please select&gt;","",'Q 5'!F1152))</f>
        <v>Improvement report in accordance with Article 69(1)</v>
      </c>
    </row>
    <row r="4150" spans="1:11" x14ac:dyDescent="0.3">
      <c r="A4150" t="s">
        <v>1886</v>
      </c>
      <c r="B4150" t="s">
        <v>1887</v>
      </c>
      <c r="C4150">
        <v>10</v>
      </c>
      <c r="D4150" t="s">
        <v>1447</v>
      </c>
      <c r="E4150" t="s">
        <v>1889</v>
      </c>
      <c r="F4150" t="s">
        <v>1737</v>
      </c>
      <c r="K4150" t="str">
        <f>IF(ISBLANK('Q 5'!F1153),"",IF('Q 5'!F1153="&lt;please select&gt;","",'Q 5'!F1153))</f>
        <v>Improvement report in accordance with Article 69(1)</v>
      </c>
    </row>
    <row r="4151" spans="1:11" x14ac:dyDescent="0.3">
      <c r="A4151" t="s">
        <v>1886</v>
      </c>
      <c r="B4151" t="s">
        <v>1887</v>
      </c>
      <c r="C4151">
        <v>11</v>
      </c>
      <c r="D4151" t="s">
        <v>1447</v>
      </c>
      <c r="E4151" t="s">
        <v>1889</v>
      </c>
      <c r="F4151" t="s">
        <v>1737</v>
      </c>
      <c r="K4151" t="str">
        <f>IF(ISBLANK('Q 5'!F1154),"",IF('Q 5'!F1154="&lt;please select&gt;","",'Q 5'!F1154))</f>
        <v>Improvement report in accordance with Article 69(1)</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4</v>
      </c>
    </row>
    <row r="4212" spans="1:11" x14ac:dyDescent="0.3">
      <c r="A4212" t="s">
        <v>1886</v>
      </c>
      <c r="B4212" t="s">
        <v>1887</v>
      </c>
      <c r="C4212">
        <v>2</v>
      </c>
      <c r="D4212" t="s">
        <v>1447</v>
      </c>
      <c r="E4212" t="s">
        <v>1890</v>
      </c>
      <c r="F4212" t="s">
        <v>1748</v>
      </c>
      <c r="H4212" t="str">
        <f>IF(ISBLANK('Q 5'!H1145),"",IF('Q 5'!H1145="&lt;please select&gt;","",'Q 5'!H1145))</f>
        <v>1</v>
      </c>
    </row>
    <row r="4213" spans="1:11" x14ac:dyDescent="0.3">
      <c r="A4213" t="s">
        <v>1886</v>
      </c>
      <c r="B4213" t="s">
        <v>1887</v>
      </c>
      <c r="C4213">
        <v>3</v>
      </c>
      <c r="D4213" t="s">
        <v>1447</v>
      </c>
      <c r="E4213" t="s">
        <v>1890</v>
      </c>
      <c r="F4213" t="s">
        <v>1748</v>
      </c>
      <c r="H4213" t="str">
        <f>IF(ISBLANK('Q 5'!H1146),"",IF('Q 5'!H1146="&lt;please select&gt;","",'Q 5'!H1146))</f>
        <v>11</v>
      </c>
    </row>
    <row r="4214" spans="1:11" x14ac:dyDescent="0.3">
      <c r="A4214" t="s">
        <v>1886</v>
      </c>
      <c r="B4214" t="s">
        <v>1887</v>
      </c>
      <c r="C4214">
        <v>4</v>
      </c>
      <c r="D4214" t="s">
        <v>1447</v>
      </c>
      <c r="E4214" t="s">
        <v>1890</v>
      </c>
      <c r="F4214" t="s">
        <v>1748</v>
      </c>
      <c r="H4214" t="str">
        <f>IF(ISBLANK('Q 5'!H1147),"",IF('Q 5'!H1147="&lt;please select&gt;","",'Q 5'!H1147))</f>
        <v>1</v>
      </c>
    </row>
    <row r="4215" spans="1:11" x14ac:dyDescent="0.3">
      <c r="A4215" t="s">
        <v>1886</v>
      </c>
      <c r="B4215" t="s">
        <v>1887</v>
      </c>
      <c r="C4215">
        <v>5</v>
      </c>
      <c r="D4215" t="s">
        <v>1447</v>
      </c>
      <c r="E4215" t="s">
        <v>1890</v>
      </c>
      <c r="F4215" t="s">
        <v>1748</v>
      </c>
      <c r="H4215" t="str">
        <f>IF(ISBLANK('Q 5'!H1148),"",IF('Q 5'!H1148="&lt;please select&gt;","",'Q 5'!H1148))</f>
        <v>3</v>
      </c>
    </row>
    <row r="4216" spans="1:11" x14ac:dyDescent="0.3">
      <c r="A4216" t="s">
        <v>1886</v>
      </c>
      <c r="B4216" t="s">
        <v>1887</v>
      </c>
      <c r="C4216">
        <v>6</v>
      </c>
      <c r="D4216" t="s">
        <v>1447</v>
      </c>
      <c r="E4216" t="s">
        <v>1890</v>
      </c>
      <c r="F4216" t="s">
        <v>1748</v>
      </c>
      <c r="H4216" t="str">
        <f>IF(ISBLANK('Q 5'!H1149),"",IF('Q 5'!H1149="&lt;please select&gt;","",'Q 5'!H1149))</f>
        <v>1</v>
      </c>
    </row>
    <row r="4217" spans="1:11" x14ac:dyDescent="0.3">
      <c r="A4217" t="s">
        <v>1886</v>
      </c>
      <c r="B4217" t="s">
        <v>1887</v>
      </c>
      <c r="C4217">
        <v>7</v>
      </c>
      <c r="D4217" t="s">
        <v>1447</v>
      </c>
      <c r="E4217" t="s">
        <v>1890</v>
      </c>
      <c r="F4217" t="s">
        <v>1748</v>
      </c>
      <c r="H4217" t="str">
        <f>IF(ISBLANK('Q 5'!H1150),"",IF('Q 5'!H1150="&lt;please select&gt;","",'Q 5'!H1150))</f>
        <v>8</v>
      </c>
    </row>
    <row r="4218" spans="1:11" x14ac:dyDescent="0.3">
      <c r="A4218" t="s">
        <v>1886</v>
      </c>
      <c r="B4218" t="s">
        <v>1887</v>
      </c>
      <c r="C4218">
        <v>8</v>
      </c>
      <c r="D4218" t="s">
        <v>1447</v>
      </c>
      <c r="E4218" t="s">
        <v>1890</v>
      </c>
      <c r="F4218" t="s">
        <v>1748</v>
      </c>
      <c r="H4218" t="str">
        <f>IF(ISBLANK('Q 5'!H1151),"",IF('Q 5'!H1151="&lt;please select&gt;","",'Q 5'!H1151))</f>
        <v>1</v>
      </c>
    </row>
    <row r="4219" spans="1:11" x14ac:dyDescent="0.3">
      <c r="A4219" t="s">
        <v>1886</v>
      </c>
      <c r="B4219" t="s">
        <v>1887</v>
      </c>
      <c r="C4219">
        <v>9</v>
      </c>
      <c r="D4219" t="s">
        <v>1447</v>
      </c>
      <c r="E4219" t="s">
        <v>1890</v>
      </c>
      <c r="F4219" t="s">
        <v>1748</v>
      </c>
      <c r="H4219" t="str">
        <f>IF(ISBLANK('Q 5'!H1152),"",IF('Q 5'!H1152="&lt;please select&gt;","",'Q 5'!H1152))</f>
        <v>2</v>
      </c>
    </row>
    <row r="4220" spans="1:11" x14ac:dyDescent="0.3">
      <c r="A4220" t="s">
        <v>1886</v>
      </c>
      <c r="B4220" t="s">
        <v>1887</v>
      </c>
      <c r="C4220">
        <v>10</v>
      </c>
      <c r="D4220" t="s">
        <v>1447</v>
      </c>
      <c r="E4220" t="s">
        <v>1890</v>
      </c>
      <c r="F4220" t="s">
        <v>1748</v>
      </c>
      <c r="H4220" t="str">
        <f>IF(ISBLANK('Q 5'!H1153),"",IF('Q 5'!H1153="&lt;please select&gt;","",'Q 5'!H1153))</f>
        <v>1</v>
      </c>
    </row>
    <row r="4221" spans="1:11" x14ac:dyDescent="0.3">
      <c r="A4221" t="s">
        <v>1886</v>
      </c>
      <c r="B4221" t="s">
        <v>1887</v>
      </c>
      <c r="C4221">
        <v>11</v>
      </c>
      <c r="D4221" t="s">
        <v>1447</v>
      </c>
      <c r="E4221" t="s">
        <v>1890</v>
      </c>
      <c r="F4221" t="s">
        <v>1748</v>
      </c>
      <c r="H4221" t="str">
        <f>IF(ISBLANK('Q 5'!H1154),"",IF('Q 5'!H1154="&lt;please select&gt;","",'Q 5'!H1154))</f>
        <v>1</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3</v>
      </c>
    </row>
    <row r="4282" spans="1:8" x14ac:dyDescent="0.3">
      <c r="A4282" t="s">
        <v>1886</v>
      </c>
      <c r="B4282" t="s">
        <v>1887</v>
      </c>
      <c r="C4282">
        <v>2</v>
      </c>
      <c r="D4282" t="s">
        <v>1447</v>
      </c>
      <c r="E4282" t="s">
        <v>1891</v>
      </c>
      <c r="F4282" t="s">
        <v>1748</v>
      </c>
      <c r="H4282" t="str">
        <f>IF(ISBLANK('Q 5'!I1145),"",IF('Q 5'!I1145="&lt;please select&gt;","",'Q 5'!I1145))</f>
        <v>1</v>
      </c>
    </row>
    <row r="4283" spans="1:8" x14ac:dyDescent="0.3">
      <c r="A4283" t="s">
        <v>1886</v>
      </c>
      <c r="B4283" t="s">
        <v>1887</v>
      </c>
      <c r="C4283">
        <v>3</v>
      </c>
      <c r="D4283" t="s">
        <v>1447</v>
      </c>
      <c r="E4283" t="s">
        <v>1891</v>
      </c>
      <c r="F4283" t="s">
        <v>1748</v>
      </c>
      <c r="H4283" t="str">
        <f>IF(ISBLANK('Q 5'!I1146),"",IF('Q 5'!I1146="&lt;please select&gt;","",'Q 5'!I1146))</f>
        <v>9</v>
      </c>
    </row>
    <row r="4284" spans="1:8" x14ac:dyDescent="0.3">
      <c r="A4284" t="s">
        <v>1886</v>
      </c>
      <c r="B4284" t="s">
        <v>1887</v>
      </c>
      <c r="C4284">
        <v>4</v>
      </c>
      <c r="D4284" t="s">
        <v>1447</v>
      </c>
      <c r="E4284" t="s">
        <v>1891</v>
      </c>
      <c r="F4284" t="s">
        <v>1748</v>
      </c>
      <c r="H4284" t="str">
        <f>IF(ISBLANK('Q 5'!I1147),"",IF('Q 5'!I1147="&lt;please select&gt;","",'Q 5'!I1147))</f>
        <v>0</v>
      </c>
    </row>
    <row r="4285" spans="1:8" x14ac:dyDescent="0.3">
      <c r="A4285" t="s">
        <v>1886</v>
      </c>
      <c r="B4285" t="s">
        <v>1887</v>
      </c>
      <c r="C4285">
        <v>5</v>
      </c>
      <c r="D4285" t="s">
        <v>1447</v>
      </c>
      <c r="E4285" t="s">
        <v>1891</v>
      </c>
      <c r="F4285" t="s">
        <v>1748</v>
      </c>
      <c r="H4285" t="str">
        <f>IF(ISBLANK('Q 5'!I1148),"",IF('Q 5'!I1148="&lt;please select&gt;","",'Q 5'!I1148))</f>
        <v>3</v>
      </c>
    </row>
    <row r="4286" spans="1:8" x14ac:dyDescent="0.3">
      <c r="A4286" t="s">
        <v>1886</v>
      </c>
      <c r="B4286" t="s">
        <v>1887</v>
      </c>
      <c r="C4286">
        <v>6</v>
      </c>
      <c r="D4286" t="s">
        <v>1447</v>
      </c>
      <c r="E4286" t="s">
        <v>1891</v>
      </c>
      <c r="F4286" t="s">
        <v>1748</v>
      </c>
      <c r="H4286" t="str">
        <f>IF(ISBLANK('Q 5'!I1149),"",IF('Q 5'!I1149="&lt;please select&gt;","",'Q 5'!I1149))</f>
        <v>1</v>
      </c>
    </row>
    <row r="4287" spans="1:8" x14ac:dyDescent="0.3">
      <c r="A4287" t="s">
        <v>1886</v>
      </c>
      <c r="B4287" t="s">
        <v>1887</v>
      </c>
      <c r="C4287">
        <v>7</v>
      </c>
      <c r="D4287" t="s">
        <v>1447</v>
      </c>
      <c r="E4287" t="s">
        <v>1891</v>
      </c>
      <c r="F4287" t="s">
        <v>1748</v>
      </c>
      <c r="H4287" t="str">
        <f>IF(ISBLANK('Q 5'!I1150),"",IF('Q 5'!I1150="&lt;please select&gt;","",'Q 5'!I1150))</f>
        <v>2</v>
      </c>
    </row>
    <row r="4288" spans="1:8" x14ac:dyDescent="0.3">
      <c r="A4288" t="s">
        <v>1886</v>
      </c>
      <c r="B4288" t="s">
        <v>1887</v>
      </c>
      <c r="C4288">
        <v>8</v>
      </c>
      <c r="D4288" t="s">
        <v>1447</v>
      </c>
      <c r="E4288" t="s">
        <v>1891</v>
      </c>
      <c r="F4288" t="s">
        <v>1748</v>
      </c>
      <c r="H4288" t="str">
        <f>IF(ISBLANK('Q 5'!I1151),"",IF('Q 5'!I1151="&lt;please select&gt;","",'Q 5'!I1151))</f>
        <v>0</v>
      </c>
    </row>
    <row r="4289" spans="1:8" x14ac:dyDescent="0.3">
      <c r="A4289" t="s">
        <v>1886</v>
      </c>
      <c r="B4289" t="s">
        <v>1887</v>
      </c>
      <c r="C4289">
        <v>9</v>
      </c>
      <c r="D4289" t="s">
        <v>1447</v>
      </c>
      <c r="E4289" t="s">
        <v>1891</v>
      </c>
      <c r="F4289" t="s">
        <v>1748</v>
      </c>
      <c r="H4289" t="str">
        <f>IF(ISBLANK('Q 5'!I1152),"",IF('Q 5'!I1152="&lt;please select&gt;","",'Q 5'!I1152))</f>
        <v>1</v>
      </c>
    </row>
    <row r="4290" spans="1:8" x14ac:dyDescent="0.3">
      <c r="A4290" t="s">
        <v>1886</v>
      </c>
      <c r="B4290" t="s">
        <v>1887</v>
      </c>
      <c r="C4290">
        <v>10</v>
      </c>
      <c r="D4290" t="s">
        <v>1447</v>
      </c>
      <c r="E4290" t="s">
        <v>1891</v>
      </c>
      <c r="F4290" t="s">
        <v>1748</v>
      </c>
      <c r="H4290" t="str">
        <f>IF(ISBLANK('Q 5'!I1153),"",IF('Q 5'!I1153="&lt;please select&gt;","",'Q 5'!I1153))</f>
        <v>1</v>
      </c>
    </row>
    <row r="4291" spans="1:8" x14ac:dyDescent="0.3">
      <c r="A4291" t="s">
        <v>1886</v>
      </c>
      <c r="B4291" t="s">
        <v>1887</v>
      </c>
      <c r="C4291">
        <v>11</v>
      </c>
      <c r="D4291" t="s">
        <v>1447</v>
      </c>
      <c r="E4291" t="s">
        <v>1891</v>
      </c>
      <c r="F4291" t="s">
        <v>1748</v>
      </c>
      <c r="H4291" t="str">
        <f>IF(ISBLANK('Q 5'!I1154),"",IF('Q 5'!I1154="&lt;please select&gt;","",'Q 5'!I1154))</f>
        <v>0</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DK-205619</v>
      </c>
    </row>
    <row r="5033" spans="1:11" x14ac:dyDescent="0.3">
      <c r="A5033" t="s">
        <v>1902</v>
      </c>
      <c r="B5033" t="s">
        <v>1904</v>
      </c>
      <c r="C5033">
        <v>2</v>
      </c>
      <c r="D5033" t="s">
        <v>1447</v>
      </c>
      <c r="E5033" t="s">
        <v>1905</v>
      </c>
      <c r="F5033" t="s">
        <v>1741</v>
      </c>
      <c r="G5033" t="str">
        <f>IF(ISBLANK('Q 5'!C1328),"",IF('Q 5'!C1328="&lt;please select&gt;","",'Q 5'!C1328))</f>
        <v>DK-202197</v>
      </c>
    </row>
    <row r="5034" spans="1:11" x14ac:dyDescent="0.3">
      <c r="A5034" t="s">
        <v>1902</v>
      </c>
      <c r="B5034" t="s">
        <v>1904</v>
      </c>
      <c r="C5034">
        <v>3</v>
      </c>
      <c r="D5034" t="s">
        <v>1447</v>
      </c>
      <c r="E5034" t="s">
        <v>1905</v>
      </c>
      <c r="F5034" t="s">
        <v>1741</v>
      </c>
      <c r="G5034" t="str">
        <f>IF(ISBLANK('Q 5'!C1329),"",IF('Q 5'!C1329="&lt;please select&gt;","",'Q 5'!C1329))</f>
        <v>DK-204108</v>
      </c>
    </row>
    <row r="5035" spans="1:11" x14ac:dyDescent="0.3">
      <c r="A5035" t="s">
        <v>1902</v>
      </c>
      <c r="B5035" t="s">
        <v>1904</v>
      </c>
      <c r="C5035">
        <v>4</v>
      </c>
      <c r="D5035" t="s">
        <v>1447</v>
      </c>
      <c r="E5035" t="s">
        <v>1905</v>
      </c>
      <c r="F5035" t="s">
        <v>1741</v>
      </c>
      <c r="G5035" t="str">
        <f>IF(ISBLANK('Q 5'!C1330),"",IF('Q 5'!C1330="&lt;please select&gt;","",'Q 5'!C1330))</f>
        <v>DK-203364</v>
      </c>
    </row>
    <row r="5036" spans="1:11" x14ac:dyDescent="0.3">
      <c r="A5036" t="s">
        <v>1902</v>
      </c>
      <c r="B5036" t="s">
        <v>1904</v>
      </c>
      <c r="C5036">
        <v>5</v>
      </c>
      <c r="D5036" t="s">
        <v>1447</v>
      </c>
      <c r="E5036" t="s">
        <v>1905</v>
      </c>
      <c r="F5036" t="s">
        <v>1741</v>
      </c>
      <c r="G5036" t="str">
        <f>IF(ISBLANK('Q 5'!C1331),"",IF('Q 5'!C1331="&lt;please select&gt;","",'Q 5'!C1331))</f>
        <v>DK-202591</v>
      </c>
    </row>
    <row r="5037" spans="1:11" x14ac:dyDescent="0.3">
      <c r="A5037" t="s">
        <v>1902</v>
      </c>
      <c r="B5037" t="s">
        <v>1904</v>
      </c>
      <c r="C5037">
        <v>6</v>
      </c>
      <c r="D5037" t="s">
        <v>1447</v>
      </c>
      <c r="E5037" t="s">
        <v>1905</v>
      </c>
      <c r="F5037" t="s">
        <v>1741</v>
      </c>
      <c r="G5037" t="str">
        <f>IF(ISBLANK('Q 5'!C1332),"",IF('Q 5'!C1332="&lt;please select&gt;","",'Q 5'!C1332))</f>
        <v>DK-86</v>
      </c>
    </row>
    <row r="5038" spans="1:11" x14ac:dyDescent="0.3">
      <c r="A5038" t="s">
        <v>1902</v>
      </c>
      <c r="B5038" t="s">
        <v>1904</v>
      </c>
      <c r="C5038">
        <v>7</v>
      </c>
      <c r="D5038" t="s">
        <v>1447</v>
      </c>
      <c r="E5038" t="s">
        <v>1905</v>
      </c>
      <c r="F5038" t="s">
        <v>1741</v>
      </c>
      <c r="G5038" t="str">
        <f>IF(ISBLANK('Q 5'!C1333),"",IF('Q 5'!C1333="&lt;please select&gt;","",'Q 5'!C1333))</f>
        <v>DK-241</v>
      </c>
    </row>
    <row r="5039" spans="1:11" x14ac:dyDescent="0.3">
      <c r="A5039" t="s">
        <v>1902</v>
      </c>
      <c r="B5039" t="s">
        <v>1904</v>
      </c>
      <c r="C5039">
        <v>8</v>
      </c>
      <c r="D5039" t="s">
        <v>1447</v>
      </c>
      <c r="E5039" t="s">
        <v>1905</v>
      </c>
      <c r="F5039" t="s">
        <v>1741</v>
      </c>
      <c r="G5039" t="str">
        <f>IF(ISBLANK('Q 5'!C1334),"",IF('Q 5'!C1334="&lt;please select&gt;","",'Q 5'!C1334))</f>
        <v>DK-85</v>
      </c>
    </row>
    <row r="5040" spans="1:11" x14ac:dyDescent="0.3">
      <c r="A5040" t="s">
        <v>1902</v>
      </c>
      <c r="B5040" t="s">
        <v>1904</v>
      </c>
      <c r="C5040">
        <v>9</v>
      </c>
      <c r="D5040" t="s">
        <v>1447</v>
      </c>
      <c r="E5040" t="s">
        <v>1905</v>
      </c>
      <c r="F5040" t="s">
        <v>1741</v>
      </c>
      <c r="G5040" t="str">
        <f>IF(ISBLANK('Q 5'!C1335),"",IF('Q 5'!C1335="&lt;please select&gt;","",'Q 5'!C1335))</f>
        <v>DK-203614</v>
      </c>
    </row>
    <row r="5041" spans="1:7" x14ac:dyDescent="0.3">
      <c r="A5041" t="s">
        <v>1902</v>
      </c>
      <c r="B5041" t="s">
        <v>1904</v>
      </c>
      <c r="C5041">
        <v>10</v>
      </c>
      <c r="D5041" t="s">
        <v>1447</v>
      </c>
      <c r="E5041" t="s">
        <v>1905</v>
      </c>
      <c r="F5041" t="s">
        <v>1741</v>
      </c>
      <c r="G5041" t="str">
        <f>IF(ISBLANK('Q 5'!C1336),"",IF('Q 5'!C1336="&lt;please select&gt;","",'Q 5'!C1336))</f>
        <v>DK-205515</v>
      </c>
    </row>
    <row r="5042" spans="1:7" x14ac:dyDescent="0.3">
      <c r="A5042" t="s">
        <v>1902</v>
      </c>
      <c r="B5042" t="s">
        <v>1904</v>
      </c>
      <c r="C5042">
        <v>11</v>
      </c>
      <c r="D5042" t="s">
        <v>1447</v>
      </c>
      <c r="E5042" t="s">
        <v>1905</v>
      </c>
      <c r="F5042" t="s">
        <v>1741</v>
      </c>
      <c r="G5042" t="str">
        <f>IF(ISBLANK('Q 5'!C1337),"",IF('Q 5'!C1337="&lt;please select&gt;","",'Q 5'!C1337))</f>
        <v>DK-202613</v>
      </c>
    </row>
    <row r="5043" spans="1:7" x14ac:dyDescent="0.3">
      <c r="A5043" t="s">
        <v>1902</v>
      </c>
      <c r="B5043" t="s">
        <v>1904</v>
      </c>
      <c r="C5043">
        <v>12</v>
      </c>
      <c r="D5043" t="s">
        <v>1447</v>
      </c>
      <c r="E5043" t="s">
        <v>1905</v>
      </c>
      <c r="F5043" t="s">
        <v>1741</v>
      </c>
      <c r="G5043" t="str">
        <f>IF(ISBLANK('Q 5'!C1338),"",IF('Q 5'!C1338="&lt;please select&gt;","",'Q 5'!C1338))</f>
        <v>DK-203845</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224719.07</v>
      </c>
    </row>
    <row r="5133" spans="1:9" x14ac:dyDescent="0.3">
      <c r="A5133" t="s">
        <v>1902</v>
      </c>
      <c r="B5133" t="s">
        <v>1904</v>
      </c>
      <c r="C5133">
        <v>2</v>
      </c>
      <c r="D5133" t="s">
        <v>1447</v>
      </c>
      <c r="E5133" t="s">
        <v>1907</v>
      </c>
      <c r="F5133" t="s">
        <v>1806</v>
      </c>
      <c r="I5133" s="165" t="str">
        <f>IF(ISBLANK('Q 5'!G1328),"",IF('Q 5'!G1328="&lt;please select&gt;","",'Q 5'!G1328))</f>
        <v>564332.06</v>
      </c>
    </row>
    <row r="5134" spans="1:9" x14ac:dyDescent="0.3">
      <c r="A5134" t="s">
        <v>1902</v>
      </c>
      <c r="B5134" t="s">
        <v>1904</v>
      </c>
      <c r="C5134">
        <v>3</v>
      </c>
      <c r="D5134" t="s">
        <v>1447</v>
      </c>
      <c r="E5134" t="s">
        <v>1907</v>
      </c>
      <c r="F5134" t="s">
        <v>1806</v>
      </c>
      <c r="I5134" s="165" t="str">
        <f>IF(ISBLANK('Q 5'!G1329),"",IF('Q 5'!G1329="&lt;please select&gt;","",'Q 5'!G1329))</f>
        <v>368636.68</v>
      </c>
    </row>
    <row r="5135" spans="1:9" x14ac:dyDescent="0.3">
      <c r="A5135" t="s">
        <v>1902</v>
      </c>
      <c r="B5135" t="s">
        <v>1904</v>
      </c>
      <c r="C5135">
        <v>4</v>
      </c>
      <c r="D5135" t="s">
        <v>1447</v>
      </c>
      <c r="E5135" t="s">
        <v>1907</v>
      </c>
      <c r="F5135" t="s">
        <v>1806</v>
      </c>
      <c r="I5135" s="165" t="str">
        <f>IF(ISBLANK('Q 5'!G1330),"",IF('Q 5'!G1330="&lt;please select&gt;","",'Q 5'!G1330))</f>
        <v>168794.68</v>
      </c>
    </row>
    <row r="5136" spans="1:9" x14ac:dyDescent="0.3">
      <c r="A5136" t="s">
        <v>1902</v>
      </c>
      <c r="B5136" t="s">
        <v>1904</v>
      </c>
      <c r="C5136">
        <v>5</v>
      </c>
      <c r="D5136" t="s">
        <v>1447</v>
      </c>
      <c r="E5136" t="s">
        <v>1907</v>
      </c>
      <c r="F5136" t="s">
        <v>1806</v>
      </c>
      <c r="I5136" s="165" t="str">
        <f>IF(ISBLANK('Q 5'!G1331),"",IF('Q 5'!G1331="&lt;please select&gt;","",'Q 5'!G1331))</f>
        <v>243267.54</v>
      </c>
    </row>
    <row r="5137" spans="1:9" x14ac:dyDescent="0.3">
      <c r="A5137" t="s">
        <v>1902</v>
      </c>
      <c r="B5137" t="s">
        <v>1904</v>
      </c>
      <c r="C5137">
        <v>6</v>
      </c>
      <c r="D5137" t="s">
        <v>1447</v>
      </c>
      <c r="E5137" t="s">
        <v>1907</v>
      </c>
      <c r="F5137" t="s">
        <v>1806</v>
      </c>
      <c r="I5137" s="165" t="str">
        <f>IF(ISBLANK('Q 5'!G1332),"",IF('Q 5'!G1332="&lt;please select&gt;","",'Q 5'!G1332))</f>
        <v>96274</v>
      </c>
    </row>
    <row r="5138" spans="1:9" x14ac:dyDescent="0.3">
      <c r="A5138" t="s">
        <v>1902</v>
      </c>
      <c r="B5138" t="s">
        <v>1904</v>
      </c>
      <c r="C5138">
        <v>7</v>
      </c>
      <c r="D5138" t="s">
        <v>1447</v>
      </c>
      <c r="E5138" t="s">
        <v>1907</v>
      </c>
      <c r="F5138" t="s">
        <v>1806</v>
      </c>
      <c r="I5138" s="165" t="str">
        <f>IF(ISBLANK('Q 5'!G1333),"",IF('Q 5'!G1333="&lt;please select&gt;","",'Q 5'!G1333))</f>
        <v>513610.42</v>
      </c>
    </row>
    <row r="5139" spans="1:9" x14ac:dyDescent="0.3">
      <c r="A5139" t="s">
        <v>1902</v>
      </c>
      <c r="B5139" t="s">
        <v>1904</v>
      </c>
      <c r="C5139">
        <v>8</v>
      </c>
      <c r="D5139" t="s">
        <v>1447</v>
      </c>
      <c r="E5139" t="s">
        <v>1907</v>
      </c>
      <c r="F5139" t="s">
        <v>1806</v>
      </c>
      <c r="I5139" s="165" t="str">
        <f>IF(ISBLANK('Q 5'!G1334),"",IF('Q 5'!G1334="&lt;please select&gt;","",'Q 5'!G1334))</f>
        <v>267282</v>
      </c>
    </row>
    <row r="5140" spans="1:9" x14ac:dyDescent="0.3">
      <c r="A5140" t="s">
        <v>1902</v>
      </c>
      <c r="B5140" t="s">
        <v>1904</v>
      </c>
      <c r="C5140">
        <v>9</v>
      </c>
      <c r="D5140" t="s">
        <v>1447</v>
      </c>
      <c r="E5140" t="s">
        <v>1907</v>
      </c>
      <c r="F5140" t="s">
        <v>1806</v>
      </c>
      <c r="I5140" s="165" t="str">
        <f>IF(ISBLANK('Q 5'!G1335),"",IF('Q 5'!G1335="&lt;please select&gt;","",'Q 5'!G1335))</f>
        <v>204328.71</v>
      </c>
    </row>
    <row r="5141" spans="1:9" x14ac:dyDescent="0.3">
      <c r="A5141" t="s">
        <v>1902</v>
      </c>
      <c r="B5141" t="s">
        <v>1904</v>
      </c>
      <c r="C5141">
        <v>10</v>
      </c>
      <c r="D5141" t="s">
        <v>1447</v>
      </c>
      <c r="E5141" t="s">
        <v>1907</v>
      </c>
      <c r="F5141" t="s">
        <v>1806</v>
      </c>
      <c r="I5141" s="165" t="str">
        <f>IF(ISBLANK('Q 5'!G1336),"",IF('Q 5'!G1336="&lt;please select&gt;","",'Q 5'!G1336))</f>
        <v>177487.94</v>
      </c>
    </row>
    <row r="5142" spans="1:9" x14ac:dyDescent="0.3">
      <c r="A5142" t="s">
        <v>1902</v>
      </c>
      <c r="B5142" t="s">
        <v>1904</v>
      </c>
      <c r="C5142">
        <v>11</v>
      </c>
      <c r="D5142" t="s">
        <v>1447</v>
      </c>
      <c r="E5142" t="s">
        <v>1907</v>
      </c>
      <c r="F5142" t="s">
        <v>1806</v>
      </c>
      <c r="I5142" s="165" t="str">
        <f>IF(ISBLANK('Q 5'!G1337),"",IF('Q 5'!G1337="&lt;please select&gt;","",'Q 5'!G1337))</f>
        <v>321516.91</v>
      </c>
    </row>
    <row r="5143" spans="1:9" x14ac:dyDescent="0.3">
      <c r="A5143" t="s">
        <v>1902</v>
      </c>
      <c r="B5143" t="s">
        <v>1904</v>
      </c>
      <c r="C5143">
        <v>12</v>
      </c>
      <c r="D5143" t="s">
        <v>1447</v>
      </c>
      <c r="E5143" t="s">
        <v>1907</v>
      </c>
      <c r="F5143" t="s">
        <v>1806</v>
      </c>
      <c r="I5143" s="165" t="str">
        <f>IF(ISBLANK('Q 5'!G1338),"",IF('Q 5'!G1338="&lt;please select&gt;","",'Q 5'!G1338))</f>
        <v>227726.44</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224717.27</v>
      </c>
    </row>
    <row r="5183" spans="1:9" x14ac:dyDescent="0.3">
      <c r="A5183" t="s">
        <v>1902</v>
      </c>
      <c r="B5183" t="s">
        <v>1904</v>
      </c>
      <c r="C5183">
        <v>2</v>
      </c>
      <c r="D5183" t="s">
        <v>1447</v>
      </c>
      <c r="E5183" t="s">
        <v>1908</v>
      </c>
      <c r="F5183" t="s">
        <v>1806</v>
      </c>
      <c r="I5183" s="165" t="str">
        <f>IF(ISBLANK('Q 5'!H1328),"",IF('Q 5'!H1328="&lt;please select&gt;","",'Q 5'!H1328))</f>
        <v>564175.06</v>
      </c>
    </row>
    <row r="5184" spans="1:9" x14ac:dyDescent="0.3">
      <c r="A5184" t="s">
        <v>1902</v>
      </c>
      <c r="B5184" t="s">
        <v>1904</v>
      </c>
      <c r="C5184">
        <v>3</v>
      </c>
      <c r="D5184" t="s">
        <v>1447</v>
      </c>
      <c r="E5184" t="s">
        <v>1908</v>
      </c>
      <c r="F5184" t="s">
        <v>1806</v>
      </c>
      <c r="I5184" s="165" t="str">
        <f>IF(ISBLANK('Q 5'!H1329),"",IF('Q 5'!H1329="&lt;please select&gt;","",'Q 5'!H1329))</f>
        <v>368601.68</v>
      </c>
    </row>
    <row r="5185" spans="1:9" x14ac:dyDescent="0.3">
      <c r="A5185" t="s">
        <v>1902</v>
      </c>
      <c r="B5185" t="s">
        <v>1904</v>
      </c>
      <c r="C5185">
        <v>4</v>
      </c>
      <c r="D5185" t="s">
        <v>1447</v>
      </c>
      <c r="E5185" t="s">
        <v>1908</v>
      </c>
      <c r="F5185" t="s">
        <v>1806</v>
      </c>
      <c r="I5185" s="165" t="str">
        <f>IF(ISBLANK('Q 5'!H1330),"",IF('Q 5'!H1330="&lt;please select&gt;","",'Q 5'!H1330))</f>
        <v>168538.68</v>
      </c>
    </row>
    <row r="5186" spans="1:9" x14ac:dyDescent="0.3">
      <c r="A5186" t="s">
        <v>1902</v>
      </c>
      <c r="B5186" t="s">
        <v>1904</v>
      </c>
      <c r="C5186">
        <v>5</v>
      </c>
      <c r="D5186" t="s">
        <v>1447</v>
      </c>
      <c r="E5186" t="s">
        <v>1908</v>
      </c>
      <c r="F5186" t="s">
        <v>1806</v>
      </c>
      <c r="I5186" s="165" t="str">
        <f>IF(ISBLANK('Q 5'!H1331),"",IF('Q 5'!H1331="&lt;please select&gt;","",'Q 5'!H1331))</f>
        <v>243258.54</v>
      </c>
    </row>
    <row r="5187" spans="1:9" x14ac:dyDescent="0.3">
      <c r="A5187" t="s">
        <v>1902</v>
      </c>
      <c r="B5187" t="s">
        <v>1904</v>
      </c>
      <c r="C5187">
        <v>6</v>
      </c>
      <c r="D5187" t="s">
        <v>1447</v>
      </c>
      <c r="E5187" t="s">
        <v>1908</v>
      </c>
      <c r="F5187" t="s">
        <v>1806</v>
      </c>
      <c r="I5187" s="165" t="str">
        <f>IF(ISBLANK('Q 5'!H1332),"",IF('Q 5'!H1332="&lt;please select&gt;","",'Q 5'!H1332))</f>
        <v>85521</v>
      </c>
    </row>
    <row r="5188" spans="1:9" x14ac:dyDescent="0.3">
      <c r="A5188" t="s">
        <v>1902</v>
      </c>
      <c r="B5188" t="s">
        <v>1904</v>
      </c>
      <c r="C5188">
        <v>7</v>
      </c>
      <c r="D5188" t="s">
        <v>1447</v>
      </c>
      <c r="E5188" t="s">
        <v>1908</v>
      </c>
      <c r="F5188" t="s">
        <v>1806</v>
      </c>
      <c r="I5188" s="165" t="str">
        <f>IF(ISBLANK('Q 5'!H1333),"",IF('Q 5'!H1333="&lt;please select&gt;","",'Q 5'!H1333))</f>
        <v>505636.42</v>
      </c>
    </row>
    <row r="5189" spans="1:9" x14ac:dyDescent="0.3">
      <c r="A5189" t="s">
        <v>1902</v>
      </c>
      <c r="B5189" t="s">
        <v>1904</v>
      </c>
      <c r="C5189">
        <v>8</v>
      </c>
      <c r="D5189" t="s">
        <v>1447</v>
      </c>
      <c r="E5189" t="s">
        <v>1908</v>
      </c>
      <c r="F5189" t="s">
        <v>1806</v>
      </c>
      <c r="I5189" s="165" t="str">
        <f>IF(ISBLANK('Q 5'!H1334),"",IF('Q 5'!H1334="&lt;please select&gt;","",'Q 5'!H1334))</f>
        <v>267273</v>
      </c>
    </row>
    <row r="5190" spans="1:9" x14ac:dyDescent="0.3">
      <c r="A5190" t="s">
        <v>1902</v>
      </c>
      <c r="B5190" t="s">
        <v>1904</v>
      </c>
      <c r="C5190">
        <v>9</v>
      </c>
      <c r="D5190" t="s">
        <v>1447</v>
      </c>
      <c r="E5190" t="s">
        <v>1908</v>
      </c>
      <c r="F5190" t="s">
        <v>1806</v>
      </c>
      <c r="I5190" s="165" t="str">
        <f>IF(ISBLANK('Q 5'!H1335),"",IF('Q 5'!H1335="&lt;please select&gt;","",'Q 5'!H1335))</f>
        <v>204315.71</v>
      </c>
    </row>
    <row r="5191" spans="1:9" x14ac:dyDescent="0.3">
      <c r="A5191" t="s">
        <v>1902</v>
      </c>
      <c r="B5191" t="s">
        <v>1904</v>
      </c>
      <c r="C5191">
        <v>10</v>
      </c>
      <c r="D5191" t="s">
        <v>1447</v>
      </c>
      <c r="E5191" t="s">
        <v>1908</v>
      </c>
      <c r="F5191" t="s">
        <v>1806</v>
      </c>
      <c r="I5191" s="165" t="str">
        <f>IF(ISBLANK('Q 5'!H1336),"",IF('Q 5'!H1336="&lt;please select&gt;","",'Q 5'!H1336))</f>
        <v>177428.94</v>
      </c>
    </row>
    <row r="5192" spans="1:9" x14ac:dyDescent="0.3">
      <c r="A5192" t="s">
        <v>1902</v>
      </c>
      <c r="B5192" t="s">
        <v>1904</v>
      </c>
      <c r="C5192">
        <v>11</v>
      </c>
      <c r="D5192" t="s">
        <v>1447</v>
      </c>
      <c r="E5192" t="s">
        <v>1908</v>
      </c>
      <c r="F5192" t="s">
        <v>1806</v>
      </c>
      <c r="I5192" s="165" t="str">
        <f>IF(ISBLANK('Q 5'!H1337),"",IF('Q 5'!H1337="&lt;please select&gt;","",'Q 5'!H1337))</f>
        <v>321516.91</v>
      </c>
    </row>
    <row r="5193" spans="1:9" x14ac:dyDescent="0.3">
      <c r="A5193" t="s">
        <v>1902</v>
      </c>
      <c r="B5193" t="s">
        <v>1904</v>
      </c>
      <c r="C5193">
        <v>12</v>
      </c>
      <c r="D5193" t="s">
        <v>1447</v>
      </c>
      <c r="E5193" t="s">
        <v>1908</v>
      </c>
      <c r="F5193" t="s">
        <v>1806</v>
      </c>
      <c r="I5193" s="165" t="str">
        <f>IF(ISBLANK('Q 5'!H1338),"",IF('Q 5'!H1338="&lt;please select&gt;","",'Q 5'!H1338))</f>
        <v>227718.44</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Yes</v>
      </c>
    </row>
    <row r="5233" spans="1:11" x14ac:dyDescent="0.3">
      <c r="A5233" t="s">
        <v>1902</v>
      </c>
      <c r="B5233" t="s">
        <v>1904</v>
      </c>
      <c r="C5233">
        <v>2</v>
      </c>
      <c r="D5233" t="s">
        <v>1447</v>
      </c>
      <c r="E5233" t="s">
        <v>1909</v>
      </c>
      <c r="F5233" t="s">
        <v>1759</v>
      </c>
      <c r="K5233" t="str">
        <f>IF(ISBLANK('Q 5'!I1328),"",IF('Q 5'!I1328="&lt;please select&gt;","",'Q 5'!I1328))</f>
        <v>Yes</v>
      </c>
    </row>
    <row r="5234" spans="1:11" x14ac:dyDescent="0.3">
      <c r="A5234" t="s">
        <v>1902</v>
      </c>
      <c r="B5234" t="s">
        <v>1904</v>
      </c>
      <c r="C5234">
        <v>3</v>
      </c>
      <c r="D5234" t="s">
        <v>1447</v>
      </c>
      <c r="E5234" t="s">
        <v>1909</v>
      </c>
      <c r="F5234" t="s">
        <v>1759</v>
      </c>
      <c r="K5234" t="str">
        <f>IF(ISBLANK('Q 5'!I1329),"",IF('Q 5'!I1329="&lt;please select&gt;","",'Q 5'!I1329))</f>
        <v>Yes</v>
      </c>
    </row>
    <row r="5235" spans="1:11" x14ac:dyDescent="0.3">
      <c r="A5235" t="s">
        <v>1902</v>
      </c>
      <c r="B5235" t="s">
        <v>1904</v>
      </c>
      <c r="C5235">
        <v>4</v>
      </c>
      <c r="D5235" t="s">
        <v>1447</v>
      </c>
      <c r="E5235" t="s">
        <v>1909</v>
      </c>
      <c r="F5235" t="s">
        <v>1759</v>
      </c>
      <c r="K5235" t="str">
        <f>IF(ISBLANK('Q 5'!I1330),"",IF('Q 5'!I1330="&lt;please select&gt;","",'Q 5'!I1330))</f>
        <v>Yes</v>
      </c>
    </row>
    <row r="5236" spans="1:11" x14ac:dyDescent="0.3">
      <c r="A5236" t="s">
        <v>1902</v>
      </c>
      <c r="B5236" t="s">
        <v>1904</v>
      </c>
      <c r="C5236">
        <v>5</v>
      </c>
      <c r="D5236" t="s">
        <v>1447</v>
      </c>
      <c r="E5236" t="s">
        <v>1909</v>
      </c>
      <c r="F5236" t="s">
        <v>1759</v>
      </c>
      <c r="K5236" t="str">
        <f>IF(ISBLANK('Q 5'!I1331),"",IF('Q 5'!I1331="&lt;please select&gt;","",'Q 5'!I1331))</f>
        <v>Yes</v>
      </c>
    </row>
    <row r="5237" spans="1:11" x14ac:dyDescent="0.3">
      <c r="A5237" t="s">
        <v>1902</v>
      </c>
      <c r="B5237" t="s">
        <v>1904</v>
      </c>
      <c r="C5237">
        <v>6</v>
      </c>
      <c r="D5237" t="s">
        <v>1447</v>
      </c>
      <c r="E5237" t="s">
        <v>1909</v>
      </c>
      <c r="F5237" t="s">
        <v>1759</v>
      </c>
      <c r="K5237" t="str">
        <f>IF(ISBLANK('Q 5'!I1332),"",IF('Q 5'!I1332="&lt;please select&gt;","",'Q 5'!I1332))</f>
        <v>Yes</v>
      </c>
    </row>
    <row r="5238" spans="1:11" x14ac:dyDescent="0.3">
      <c r="A5238" t="s">
        <v>1902</v>
      </c>
      <c r="B5238" t="s">
        <v>1904</v>
      </c>
      <c r="C5238">
        <v>7</v>
      </c>
      <c r="D5238" t="s">
        <v>1447</v>
      </c>
      <c r="E5238" t="s">
        <v>1909</v>
      </c>
      <c r="F5238" t="s">
        <v>1759</v>
      </c>
      <c r="K5238" t="str">
        <f>IF(ISBLANK('Q 5'!I1333),"",IF('Q 5'!I1333="&lt;please select&gt;","",'Q 5'!I1333))</f>
        <v>Yes</v>
      </c>
    </row>
    <row r="5239" spans="1:11" x14ac:dyDescent="0.3">
      <c r="A5239" t="s">
        <v>1902</v>
      </c>
      <c r="B5239" t="s">
        <v>1904</v>
      </c>
      <c r="C5239">
        <v>8</v>
      </c>
      <c r="D5239" t="s">
        <v>1447</v>
      </c>
      <c r="E5239" t="s">
        <v>1909</v>
      </c>
      <c r="F5239" t="s">
        <v>1759</v>
      </c>
      <c r="K5239" t="str">
        <f>IF(ISBLANK('Q 5'!I1334),"",IF('Q 5'!I1334="&lt;please select&gt;","",'Q 5'!I1334))</f>
        <v>Yes</v>
      </c>
    </row>
    <row r="5240" spans="1:11" x14ac:dyDescent="0.3">
      <c r="A5240" t="s">
        <v>1902</v>
      </c>
      <c r="B5240" t="s">
        <v>1904</v>
      </c>
      <c r="C5240">
        <v>9</v>
      </c>
      <c r="D5240" t="s">
        <v>1447</v>
      </c>
      <c r="E5240" t="s">
        <v>1909</v>
      </c>
      <c r="F5240" t="s">
        <v>1759</v>
      </c>
      <c r="K5240" t="str">
        <f>IF(ISBLANK('Q 5'!I1335),"",IF('Q 5'!I1335="&lt;please select&gt;","",'Q 5'!I1335))</f>
        <v>Yes</v>
      </c>
    </row>
    <row r="5241" spans="1:11" x14ac:dyDescent="0.3">
      <c r="A5241" t="s">
        <v>1902</v>
      </c>
      <c r="B5241" t="s">
        <v>1904</v>
      </c>
      <c r="C5241">
        <v>10</v>
      </c>
      <c r="D5241" t="s">
        <v>1447</v>
      </c>
      <c r="E5241" t="s">
        <v>1909</v>
      </c>
      <c r="F5241" t="s">
        <v>1759</v>
      </c>
      <c r="K5241" t="str">
        <f>IF(ISBLANK('Q 5'!I1336),"",IF('Q 5'!I1336="&lt;please select&gt;","",'Q 5'!I1336))</f>
        <v>Yes</v>
      </c>
    </row>
    <row r="5242" spans="1:11" x14ac:dyDescent="0.3">
      <c r="A5242" t="s">
        <v>1902</v>
      </c>
      <c r="B5242" t="s">
        <v>1904</v>
      </c>
      <c r="C5242">
        <v>11</v>
      </c>
      <c r="D5242" t="s">
        <v>1447</v>
      </c>
      <c r="E5242" t="s">
        <v>1909</v>
      </c>
      <c r="F5242" t="s">
        <v>1759</v>
      </c>
      <c r="K5242" t="str">
        <f>IF(ISBLANK('Q 5'!I1337),"",IF('Q 5'!I1337="&lt;please select&gt;","",'Q 5'!I1337))</f>
        <v>Yes</v>
      </c>
    </row>
    <row r="5243" spans="1:11" x14ac:dyDescent="0.3">
      <c r="A5243" t="s">
        <v>1902</v>
      </c>
      <c r="B5243" t="s">
        <v>1904</v>
      </c>
      <c r="C5243">
        <v>12</v>
      </c>
      <c r="D5243" t="s">
        <v>1447</v>
      </c>
      <c r="E5243" t="s">
        <v>1909</v>
      </c>
      <c r="F5243" t="s">
        <v>1759</v>
      </c>
      <c r="K5243" t="str">
        <f>IF(ISBLANK('Q 5'!I1338),"",IF('Q 5'!I1338="&lt;please select&gt;","",'Q 5'!I1338))</f>
        <v>Yes</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In general, compliance with sustainability criteria for bioliquid and biofuel should be demonstrated in DK in form of certificates according to EU-approved voluntary schemes (eg. ISCC), but other forms of documentation for demonstration compliance is also allowed, see Order on Sustainability for biofuels and bioliquids in the ETS (no 1619 of 15/12/2016 and no 1313 of 14/06/2021).</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20 - Combustion of fuels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32 - Manufacture of ceramic products as specified in Annex I of Directive 2003/87/EC</v>
      </c>
    </row>
    <row r="5287" spans="1:11" x14ac:dyDescent="0.3">
      <c r="A5287" t="s">
        <v>1910</v>
      </c>
      <c r="B5287" t="s">
        <v>1912</v>
      </c>
      <c r="C5287">
        <v>5</v>
      </c>
      <c r="D5287" t="s">
        <v>1447</v>
      </c>
      <c r="E5287" t="s">
        <v>1888</v>
      </c>
      <c r="F5287" t="s">
        <v>1737</v>
      </c>
      <c r="K5287" t="str">
        <f>IF(ISBLANK('Q 5'!C1393),"",IF('Q 5'!C1393="&lt;please select&gt;","",'Q 5'!C1393))</f>
        <v>32 - Manufacture of ceramic products as specified in Annex I of Directive 2003/87/EC</v>
      </c>
    </row>
    <row r="5288" spans="1:11" x14ac:dyDescent="0.3">
      <c r="A5288" t="s">
        <v>1910</v>
      </c>
      <c r="B5288" t="s">
        <v>1912</v>
      </c>
      <c r="C5288">
        <v>6</v>
      </c>
      <c r="D5288" t="s">
        <v>1447</v>
      </c>
      <c r="E5288" t="s">
        <v>1888</v>
      </c>
      <c r="F5288" t="s">
        <v>1737</v>
      </c>
      <c r="K5288" t="str">
        <f>IF(ISBLANK('Q 5'!C1394),"",IF('Q 5'!C1394="&lt;please select&gt;","",'Q 5'!C1394))</f>
        <v>35 - Production of pulp as specified in Annex I of Directive 2003/87/EC</v>
      </c>
    </row>
    <row r="5289" spans="1:11" x14ac:dyDescent="0.3">
      <c r="A5289" t="s">
        <v>1910</v>
      </c>
      <c r="B5289" t="s">
        <v>1912</v>
      </c>
      <c r="C5289">
        <v>7</v>
      </c>
      <c r="D5289" t="s">
        <v>1447</v>
      </c>
      <c r="E5289" t="s">
        <v>1888</v>
      </c>
      <c r="F5289" t="s">
        <v>1737</v>
      </c>
      <c r="K5289" t="str">
        <f>IF(ISBLANK('Q 5'!C1395),"",IF('Q 5'!C1395="&lt;please select&gt;","",'Q 5'!C1395))</f>
        <v>29 - Production of cement clinker in rotary kilns as specified in Annex I of Directive 2003/87/ EC</v>
      </c>
    </row>
    <row r="5290" spans="1:11" x14ac:dyDescent="0.3">
      <c r="A5290" t="s">
        <v>1910</v>
      </c>
      <c r="B5290" t="s">
        <v>1912</v>
      </c>
      <c r="C5290">
        <v>8</v>
      </c>
      <c r="D5290" t="s">
        <v>1447</v>
      </c>
      <c r="E5290" t="s">
        <v>1888</v>
      </c>
      <c r="F5290" t="s">
        <v>1737</v>
      </c>
      <c r="K5290" t="str">
        <f>IF(ISBLANK('Q 5'!C1396),"",IF('Q 5'!C1396="&lt;please select&gt;","",'Q 5'!C1396))</f>
        <v>33 - Manufacture of mineral wool insulation material using glass, rock or slag as specified in Annex I of Directive 2003/87/EC</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C</v>
      </c>
    </row>
    <row r="5336" spans="1:11" x14ac:dyDescent="0.3">
      <c r="A5336" t="s">
        <v>1910</v>
      </c>
      <c r="B5336" t="s">
        <v>1912</v>
      </c>
      <c r="C5336">
        <v>4</v>
      </c>
      <c r="D5336" t="s">
        <v>1447</v>
      </c>
      <c r="E5336" t="s">
        <v>1913</v>
      </c>
      <c r="F5336" t="s">
        <v>1737</v>
      </c>
      <c r="K5336" t="str">
        <f>IF(ISBLANK('Q 5'!D1392),"",IF('Q 5'!D1392="&lt;please select&gt;","",'Q 5'!D1392))</f>
        <v>Category A</v>
      </c>
    </row>
    <row r="5337" spans="1:11" x14ac:dyDescent="0.3">
      <c r="A5337" t="s">
        <v>1910</v>
      </c>
      <c r="B5337" t="s">
        <v>1912</v>
      </c>
      <c r="C5337">
        <v>5</v>
      </c>
      <c r="D5337" t="s">
        <v>1447</v>
      </c>
      <c r="E5337" t="s">
        <v>1913</v>
      </c>
      <c r="F5337" t="s">
        <v>1737</v>
      </c>
      <c r="K5337" t="str">
        <f>IF(ISBLANK('Q 5'!D1393),"",IF('Q 5'!D1393="&lt;please select&gt;","",'Q 5'!D1393))</f>
        <v>Category B</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C</v>
      </c>
    </row>
    <row r="5340" spans="1:11" x14ac:dyDescent="0.3">
      <c r="A5340" t="s">
        <v>1910</v>
      </c>
      <c r="B5340" t="s">
        <v>1912</v>
      </c>
      <c r="C5340">
        <v>8</v>
      </c>
      <c r="D5340" t="s">
        <v>1447</v>
      </c>
      <c r="E5340" t="s">
        <v>1913</v>
      </c>
      <c r="F5340" t="s">
        <v>1737</v>
      </c>
      <c r="K5340" t="str">
        <f>IF(ISBLANK('Q 5'!D1396),"",IF('Q 5'!D1396="&lt;please select&gt;","",'Q 5'!D1396))</f>
        <v>Category A</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49</v>
      </c>
    </row>
    <row r="5384" spans="1:11" x14ac:dyDescent="0.3">
      <c r="A5384" t="s">
        <v>1910</v>
      </c>
      <c r="B5384" t="s">
        <v>1912</v>
      </c>
      <c r="C5384">
        <v>2</v>
      </c>
      <c r="D5384" t="s">
        <v>1447</v>
      </c>
      <c r="E5384" t="s">
        <v>1914</v>
      </c>
      <c r="F5384" t="s">
        <v>1748</v>
      </c>
      <c r="H5384" t="str">
        <f>IF(ISBLANK('Q 5'!E1390),"",IF('Q 5'!E1390="&lt;please select&gt;","",'Q 5'!E1390))</f>
        <v>18</v>
      </c>
    </row>
    <row r="5385" spans="1:11" x14ac:dyDescent="0.3">
      <c r="A5385" t="s">
        <v>1910</v>
      </c>
      <c r="B5385" t="s">
        <v>1912</v>
      </c>
      <c r="C5385">
        <v>3</v>
      </c>
      <c r="D5385" t="s">
        <v>1447</v>
      </c>
      <c r="E5385" t="s">
        <v>1914</v>
      </c>
      <c r="F5385" t="s">
        <v>1748</v>
      </c>
      <c r="H5385" t="str">
        <f>IF(ISBLANK('Q 5'!E1391),"",IF('Q 5'!E1391="&lt;please select&gt;","",'Q 5'!E1391))</f>
        <v>2</v>
      </c>
    </row>
    <row r="5386" spans="1:11" x14ac:dyDescent="0.3">
      <c r="A5386" t="s">
        <v>1910</v>
      </c>
      <c r="B5386" t="s">
        <v>1912</v>
      </c>
      <c r="C5386">
        <v>4</v>
      </c>
      <c r="D5386" t="s">
        <v>1447</v>
      </c>
      <c r="E5386" t="s">
        <v>1914</v>
      </c>
      <c r="F5386" t="s">
        <v>1748</v>
      </c>
      <c r="H5386" t="str">
        <f>IF(ISBLANK('Q 5'!E1392),"",IF('Q 5'!E1392="&lt;please select&gt;","",'Q 5'!E1392))</f>
        <v>12</v>
      </c>
    </row>
    <row r="5387" spans="1:11" x14ac:dyDescent="0.3">
      <c r="A5387" t="s">
        <v>1910</v>
      </c>
      <c r="B5387" t="s">
        <v>1912</v>
      </c>
      <c r="C5387">
        <v>5</v>
      </c>
      <c r="D5387" t="s">
        <v>1447</v>
      </c>
      <c r="E5387" t="s">
        <v>1914</v>
      </c>
      <c r="F5387" t="s">
        <v>1748</v>
      </c>
      <c r="H5387" t="str">
        <f>IF(ISBLANK('Q 5'!E1393),"",IF('Q 5'!E1393="&lt;please select&gt;","",'Q 5'!E1393))</f>
        <v>1</v>
      </c>
    </row>
    <row r="5388" spans="1:11" x14ac:dyDescent="0.3">
      <c r="A5388" t="s">
        <v>1910</v>
      </c>
      <c r="B5388" t="s">
        <v>1912</v>
      </c>
      <c r="C5388">
        <v>6</v>
      </c>
      <c r="D5388" t="s">
        <v>1447</v>
      </c>
      <c r="E5388" t="s">
        <v>1914</v>
      </c>
      <c r="F5388" t="s">
        <v>1748</v>
      </c>
      <c r="H5388" t="str">
        <f>IF(ISBLANK('Q 5'!E1394),"",IF('Q 5'!E1394="&lt;please select&gt;","",'Q 5'!E1394))</f>
        <v>1</v>
      </c>
    </row>
    <row r="5389" spans="1:11" x14ac:dyDescent="0.3">
      <c r="A5389" t="s">
        <v>1910</v>
      </c>
      <c r="B5389" t="s">
        <v>1912</v>
      </c>
      <c r="C5389">
        <v>7</v>
      </c>
      <c r="D5389" t="s">
        <v>1447</v>
      </c>
      <c r="E5389" t="s">
        <v>1914</v>
      </c>
      <c r="F5389" t="s">
        <v>1748</v>
      </c>
      <c r="H5389" t="str">
        <f>IF(ISBLANK('Q 5'!E1395),"",IF('Q 5'!E1395="&lt;please select&gt;","",'Q 5'!E1395))</f>
        <v>1</v>
      </c>
    </row>
    <row r="5390" spans="1:11" x14ac:dyDescent="0.3">
      <c r="A5390" t="s">
        <v>1910</v>
      </c>
      <c r="B5390" t="s">
        <v>1912</v>
      </c>
      <c r="C5390">
        <v>8</v>
      </c>
      <c r="D5390" t="s">
        <v>1447</v>
      </c>
      <c r="E5390" t="s">
        <v>1914</v>
      </c>
      <c r="F5390" t="s">
        <v>1748</v>
      </c>
      <c r="H5390" t="str">
        <f>IF(ISBLANK('Q 5'!E1396),"",IF('Q 5'!E1396="&lt;please select&gt;","",'Q 5'!E1396))</f>
        <v>2</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4350352.07</v>
      </c>
    </row>
    <row r="5434" spans="1:9" x14ac:dyDescent="0.3">
      <c r="A5434" t="s">
        <v>1910</v>
      </c>
      <c r="B5434" t="s">
        <v>1912</v>
      </c>
      <c r="C5434">
        <v>2</v>
      </c>
      <c r="D5434" t="s">
        <v>1447</v>
      </c>
      <c r="E5434" t="s">
        <v>1915</v>
      </c>
      <c r="F5434" t="s">
        <v>1806</v>
      </c>
      <c r="I5434" t="str">
        <f>IF(ISBLANK('Q 5'!F1390),"",IF('Q 5'!F1390="&lt;please select&gt;","",'Q 5'!F1390))</f>
        <v>5297985.33</v>
      </c>
    </row>
    <row r="5435" spans="1:9" x14ac:dyDescent="0.3">
      <c r="A5435" t="s">
        <v>1910</v>
      </c>
      <c r="B5435" t="s">
        <v>1912</v>
      </c>
      <c r="C5435">
        <v>3</v>
      </c>
      <c r="D5435" t="s">
        <v>1447</v>
      </c>
      <c r="E5435" t="s">
        <v>1915</v>
      </c>
      <c r="F5435" t="s">
        <v>1806</v>
      </c>
      <c r="I5435" t="str">
        <f>IF(ISBLANK('Q 5'!F1391),"",IF('Q 5'!F1391="&lt;please select&gt;","",'Q 5'!F1391))</f>
        <v>1903818.13</v>
      </c>
    </row>
    <row r="5436" spans="1:9" x14ac:dyDescent="0.3">
      <c r="A5436" t="s">
        <v>1910</v>
      </c>
      <c r="B5436" t="s">
        <v>1912</v>
      </c>
      <c r="C5436">
        <v>4</v>
      </c>
      <c r="D5436" t="s">
        <v>1447</v>
      </c>
      <c r="E5436" t="s">
        <v>1915</v>
      </c>
      <c r="F5436" t="s">
        <v>1806</v>
      </c>
      <c r="I5436" t="str">
        <f>IF(ISBLANK('Q 5'!F1392),"",IF('Q 5'!F1392="&lt;please select&gt;","",'Q 5'!F1392))</f>
        <v>33105.91</v>
      </c>
    </row>
    <row r="5437" spans="1:9" x14ac:dyDescent="0.3">
      <c r="A5437" t="s">
        <v>1910</v>
      </c>
      <c r="B5437" t="s">
        <v>1912</v>
      </c>
      <c r="C5437">
        <v>5</v>
      </c>
      <c r="D5437" t="s">
        <v>1447</v>
      </c>
      <c r="E5437" t="s">
        <v>1915</v>
      </c>
      <c r="F5437" t="s">
        <v>1806</v>
      </c>
      <c r="I5437" t="str">
        <f>IF(ISBLANK('Q 5'!F1393),"",IF('Q 5'!F1393="&lt;please select&gt;","",'Q 5'!F1393))</f>
        <v>7016.47</v>
      </c>
    </row>
    <row r="5438" spans="1:9" x14ac:dyDescent="0.3">
      <c r="A5438" t="s">
        <v>1910</v>
      </c>
      <c r="B5438" t="s">
        <v>1912</v>
      </c>
      <c r="C5438">
        <v>6</v>
      </c>
      <c r="D5438" t="s">
        <v>1447</v>
      </c>
      <c r="E5438" t="s">
        <v>1915</v>
      </c>
      <c r="F5438" t="s">
        <v>1806</v>
      </c>
      <c r="I5438" t="str">
        <f>IF(ISBLANK('Q 5'!F1394),"",IF('Q 5'!F1394="&lt;please select&gt;","",'Q 5'!F1394))</f>
        <v>36282.05</v>
      </c>
    </row>
    <row r="5439" spans="1:9" x14ac:dyDescent="0.3">
      <c r="A5439" t="s">
        <v>1910</v>
      </c>
      <c r="B5439" t="s">
        <v>1912</v>
      </c>
      <c r="C5439">
        <v>7</v>
      </c>
      <c r="D5439" t="s">
        <v>1447</v>
      </c>
      <c r="E5439" t="s">
        <v>1915</v>
      </c>
      <c r="F5439" t="s">
        <v>1806</v>
      </c>
      <c r="I5439" t="str">
        <f>IF(ISBLANK('Q 5'!F1395),"",IF('Q 5'!F1395="&lt;please select&gt;","",'Q 5'!F1395))</f>
        <v>193725.97</v>
      </c>
    </row>
    <row r="5440" spans="1:9" x14ac:dyDescent="0.3">
      <c r="A5440" t="s">
        <v>1910</v>
      </c>
      <c r="B5440" t="s">
        <v>1912</v>
      </c>
      <c r="C5440">
        <v>8</v>
      </c>
      <c r="D5440" t="s">
        <v>1447</v>
      </c>
      <c r="E5440" t="s">
        <v>1915</v>
      </c>
      <c r="F5440" t="s">
        <v>1806</v>
      </c>
      <c r="I5440" t="str">
        <f>IF(ISBLANK('Q 5'!F1396),"",IF('Q 5'!F1396="&lt;please select&gt;","",'Q 5'!F1396))</f>
        <v>38891.8</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117.01</v>
      </c>
    </row>
    <row r="5484" spans="1:9" x14ac:dyDescent="0.3">
      <c r="A5484" t="s">
        <v>1910</v>
      </c>
      <c r="B5484" t="s">
        <v>1912</v>
      </c>
      <c r="C5484">
        <v>2</v>
      </c>
      <c r="D5484" t="s">
        <v>1447</v>
      </c>
      <c r="E5484" t="s">
        <v>1916</v>
      </c>
      <c r="F5484" t="s">
        <v>1806</v>
      </c>
      <c r="I5484" t="str">
        <f>IF(ISBLANK('Q 5'!G1390),"",IF('Q 5'!G1390="&lt;please select&gt;","",'Q 5'!G1390))</f>
        <v>31479.37</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1210394.27</v>
      </c>
    </row>
    <row r="5534" spans="1:9" x14ac:dyDescent="0.3">
      <c r="A5534" t="s">
        <v>1910</v>
      </c>
      <c r="B5534" t="s">
        <v>1912</v>
      </c>
      <c r="C5534">
        <v>2</v>
      </c>
      <c r="D5534" t="s">
        <v>1447</v>
      </c>
      <c r="E5534" t="s">
        <v>1917</v>
      </c>
      <c r="F5534" t="s">
        <v>1806</v>
      </c>
      <c r="I5534" t="str">
        <f>IF(ISBLANK('Q 5'!H1390),"",IF('Q 5'!H1390="&lt;please select&gt;","",'Q 5'!H1390))</f>
        <v>2883851.25</v>
      </c>
    </row>
    <row r="5535" spans="1:9" x14ac:dyDescent="0.3">
      <c r="A5535" t="s">
        <v>1910</v>
      </c>
      <c r="B5535" t="s">
        <v>1912</v>
      </c>
      <c r="C5535">
        <v>3</v>
      </c>
      <c r="D5535" t="s">
        <v>1447</v>
      </c>
      <c r="E5535" t="s">
        <v>1917</v>
      </c>
      <c r="F5535" t="s">
        <v>1806</v>
      </c>
      <c r="I5535" t="str">
        <f>IF(ISBLANK('Q 5'!H1391),"",IF('Q 5'!H1391="&lt;please select&gt;","",'Q 5'!H1391))</f>
        <v>3725400.34</v>
      </c>
    </row>
    <row r="5536" spans="1:9" x14ac:dyDescent="0.3">
      <c r="A5536" t="s">
        <v>1910</v>
      </c>
      <c r="B5536" t="s">
        <v>1912</v>
      </c>
      <c r="C5536">
        <v>4</v>
      </c>
      <c r="D5536" t="s">
        <v>1447</v>
      </c>
      <c r="E5536" t="s">
        <v>1917</v>
      </c>
      <c r="F5536" t="s">
        <v>1806</v>
      </c>
      <c r="I5536" t="str">
        <f>IF(ISBLANK('Q 5'!H1392),"",IF('Q 5'!H1392="&lt;please select&gt;","",'Q 5'!H1392))</f>
        <v>133064.5</v>
      </c>
    </row>
    <row r="5537" spans="1:9" x14ac:dyDescent="0.3">
      <c r="A5537" t="s">
        <v>1910</v>
      </c>
      <c r="B5537" t="s">
        <v>1912</v>
      </c>
      <c r="C5537">
        <v>5</v>
      </c>
      <c r="D5537" t="s">
        <v>1447</v>
      </c>
      <c r="E5537" t="s">
        <v>1917</v>
      </c>
      <c r="F5537" t="s">
        <v>1806</v>
      </c>
      <c r="I5537" t="str">
        <f>IF(ISBLANK('Q 5'!H1393),"",IF('Q 5'!H1393="&lt;please select&gt;","",'Q 5'!H1393))</f>
        <v>119311.34</v>
      </c>
    </row>
    <row r="5538" spans="1:9" x14ac:dyDescent="0.3">
      <c r="A5538" t="s">
        <v>1910</v>
      </c>
      <c r="B5538" t="s">
        <v>1912</v>
      </c>
      <c r="C5538">
        <v>6</v>
      </c>
      <c r="D5538" t="s">
        <v>1447</v>
      </c>
      <c r="E5538" t="s">
        <v>1917</v>
      </c>
      <c r="F5538" t="s">
        <v>1806</v>
      </c>
      <c r="I5538" t="str">
        <f>IF(ISBLANK('Q 5'!H1394),"",IF('Q 5'!H1394="&lt;please select&gt;","",'Q 5'!H1394))</f>
        <v>35094.37</v>
      </c>
    </row>
    <row r="5539" spans="1:9" x14ac:dyDescent="0.3">
      <c r="A5539" t="s">
        <v>1910</v>
      </c>
      <c r="B5539" t="s">
        <v>1912</v>
      </c>
      <c r="C5539">
        <v>7</v>
      </c>
      <c r="D5539" t="s">
        <v>1447</v>
      </c>
      <c r="E5539" t="s">
        <v>1917</v>
      </c>
      <c r="F5539" t="s">
        <v>1806</v>
      </c>
      <c r="I5539" t="str">
        <f>IF(ISBLANK('Q 5'!H1395),"",IF('Q 5'!H1395="&lt;please select&gt;","",'Q 5'!H1395))</f>
        <v>2248047.84</v>
      </c>
    </row>
    <row r="5540" spans="1:9" x14ac:dyDescent="0.3">
      <c r="A5540" t="s">
        <v>1910</v>
      </c>
      <c r="B5540" t="s">
        <v>1912</v>
      </c>
      <c r="C5540">
        <v>8</v>
      </c>
      <c r="D5540" t="s">
        <v>1447</v>
      </c>
      <c r="E5540" t="s">
        <v>1917</v>
      </c>
      <c r="F5540" t="s">
        <v>1806</v>
      </c>
      <c r="I5540" t="str">
        <f>IF(ISBLANK('Q 5'!H1396),"",IF('Q 5'!H1396="&lt;please select&gt;","",'Q 5'!H1396))</f>
        <v>29038.96</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39229.6719112436</v>
      </c>
    </row>
    <row r="5584" spans="1:9" x14ac:dyDescent="0.3">
      <c r="A5584" t="s">
        <v>1910</v>
      </c>
      <c r="B5584" t="s">
        <v>1912</v>
      </c>
      <c r="C5584">
        <v>2</v>
      </c>
      <c r="D5584" t="s">
        <v>1447</v>
      </c>
      <c r="E5584" t="s">
        <v>1918</v>
      </c>
      <c r="F5584" t="s">
        <v>1806</v>
      </c>
      <c r="I5584" t="str">
        <f>IF(ISBLANK('Q 5'!I1390),"",IF('Q 5'!I1390="&lt;please select&gt;","",'Q 5'!I1390))</f>
        <v>49083.6928916584</v>
      </c>
    </row>
    <row r="5585" spans="1:9" x14ac:dyDescent="0.3">
      <c r="A5585" t="s">
        <v>1910</v>
      </c>
      <c r="B5585" t="s">
        <v>1912</v>
      </c>
      <c r="C5585">
        <v>3</v>
      </c>
      <c r="D5585" t="s">
        <v>1447</v>
      </c>
      <c r="E5585" t="s">
        <v>1918</v>
      </c>
      <c r="F5585" t="s">
        <v>1806</v>
      </c>
      <c r="I5585" t="str">
        <f>IF(ISBLANK('Q 5'!I1391),"",IF('Q 5'!I1391="&lt;please select&gt;","",'Q 5'!I1391))</f>
        <v>17319.146288095</v>
      </c>
    </row>
    <row r="5586" spans="1:9" x14ac:dyDescent="0.3">
      <c r="A5586" t="s">
        <v>1910</v>
      </c>
      <c r="B5586" t="s">
        <v>1912</v>
      </c>
      <c r="C5586">
        <v>4</v>
      </c>
      <c r="D5586" t="s">
        <v>1447</v>
      </c>
      <c r="E5586" t="s">
        <v>1918</v>
      </c>
      <c r="F5586" t="s">
        <v>1806</v>
      </c>
      <c r="I5586" t="str">
        <f>IF(ISBLANK('Q 5'!I1392),"",IF('Q 5'!I1392="&lt;please select&gt;","",'Q 5'!I1392))</f>
        <v>374.50423415</v>
      </c>
    </row>
    <row r="5587" spans="1:9" x14ac:dyDescent="0.3">
      <c r="A5587" t="s">
        <v>1910</v>
      </c>
      <c r="B5587" t="s">
        <v>1912</v>
      </c>
      <c r="C5587">
        <v>5</v>
      </c>
      <c r="D5587" t="s">
        <v>1447</v>
      </c>
      <c r="E5587" t="s">
        <v>1918</v>
      </c>
      <c r="F5587" t="s">
        <v>1806</v>
      </c>
      <c r="I5587" t="str">
        <f>IF(ISBLANK('Q 5'!I1393),"",IF('Q 5'!I1393="&lt;please select&gt;","",'Q 5'!I1393))</f>
        <v>30.1064048148056</v>
      </c>
    </row>
    <row r="5588" spans="1:9" x14ac:dyDescent="0.3">
      <c r="A5588" t="s">
        <v>1910</v>
      </c>
      <c r="B5588" t="s">
        <v>1912</v>
      </c>
      <c r="C5588">
        <v>6</v>
      </c>
      <c r="D5588" t="s">
        <v>1447</v>
      </c>
      <c r="E5588" t="s">
        <v>1918</v>
      </c>
      <c r="F5588" t="s">
        <v>1806</v>
      </c>
      <c r="I5588" t="str">
        <f>IF(ISBLANK('Q 5'!I1394),"",IF('Q 5'!I1394="&lt;please select&gt;","",'Q 5'!I1394))</f>
        <v>323.9469</v>
      </c>
    </row>
    <row r="5589" spans="1:9" x14ac:dyDescent="0.3">
      <c r="A5589" t="s">
        <v>1910</v>
      </c>
      <c r="B5589" t="s">
        <v>1912</v>
      </c>
      <c r="C5589">
        <v>7</v>
      </c>
      <c r="D5589" t="s">
        <v>1447</v>
      </c>
      <c r="E5589" t="s">
        <v>1918</v>
      </c>
      <c r="F5589" t="s">
        <v>1806</v>
      </c>
      <c r="I5589" t="str">
        <f>IF(ISBLANK('Q 5'!I1395),"",IF('Q 5'!I1395="&lt;please select&gt;","",'Q 5'!I1395))</f>
        <v>2066.84714036212</v>
      </c>
    </row>
    <row r="5590" spans="1:9" x14ac:dyDescent="0.3">
      <c r="A5590" t="s">
        <v>1910</v>
      </c>
      <c r="B5590" t="s">
        <v>1912</v>
      </c>
      <c r="C5590">
        <v>8</v>
      </c>
      <c r="D5590" t="s">
        <v>1447</v>
      </c>
      <c r="E5590" t="s">
        <v>1918</v>
      </c>
      <c r="F5590" t="s">
        <v>1806</v>
      </c>
      <c r="I5590" t="str">
        <f>IF(ISBLANK('Q 5'!I1396),"",IF('Q 5'!I1396="&lt;please select&gt;","",'Q 5'!I1396))</f>
        <v>700.1224164</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0.81</v>
      </c>
    </row>
    <row r="5634" spans="1:9" x14ac:dyDescent="0.3">
      <c r="A5634" t="s">
        <v>1910</v>
      </c>
      <c r="B5634" t="s">
        <v>1912</v>
      </c>
      <c r="C5634">
        <v>2</v>
      </c>
      <c r="D5634" t="s">
        <v>1447</v>
      </c>
      <c r="E5634" t="s">
        <v>1919</v>
      </c>
      <c r="F5634" t="s">
        <v>1806</v>
      </c>
      <c r="I5634" t="str">
        <f>IF(ISBLANK('Q 5'!J1390),"",IF('Q 5'!J1390="&lt;please select&gt;","",'Q 5'!J1390))</f>
        <v>254.39</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19402.35</v>
      </c>
    </row>
    <row r="5684" spans="1:9" x14ac:dyDescent="0.3">
      <c r="A5684" t="s">
        <v>1910</v>
      </c>
      <c r="B5684" t="s">
        <v>1912</v>
      </c>
      <c r="C5684">
        <v>2</v>
      </c>
      <c r="D5684" t="s">
        <v>1447</v>
      </c>
      <c r="E5684" t="s">
        <v>1920</v>
      </c>
      <c r="F5684" t="s">
        <v>1806</v>
      </c>
      <c r="I5684" t="str">
        <f>IF(ISBLANK('Q 5'!K1390),"",IF('Q 5'!K1390="&lt;please select&gt;","",'Q 5'!K1390))</f>
        <v>39680.441</v>
      </c>
    </row>
    <row r="5685" spans="1:9" x14ac:dyDescent="0.3">
      <c r="A5685" t="s">
        <v>1910</v>
      </c>
      <c r="B5685" t="s">
        <v>1912</v>
      </c>
      <c r="C5685">
        <v>3</v>
      </c>
      <c r="D5685" t="s">
        <v>1447</v>
      </c>
      <c r="E5685" t="s">
        <v>1920</v>
      </c>
      <c r="F5685" t="s">
        <v>1806</v>
      </c>
      <c r="I5685" t="str">
        <f>IF(ISBLANK('Q 5'!K1391),"",IF('Q 5'!K1391="&lt;please select&gt;","",'Q 5'!K1391))</f>
        <v>39651.77</v>
      </c>
    </row>
    <row r="5686" spans="1:9" x14ac:dyDescent="0.3">
      <c r="A5686" t="s">
        <v>1910</v>
      </c>
      <c r="B5686" t="s">
        <v>1912</v>
      </c>
      <c r="C5686">
        <v>4</v>
      </c>
      <c r="D5686" t="s">
        <v>1447</v>
      </c>
      <c r="E5686" t="s">
        <v>1920</v>
      </c>
      <c r="F5686" t="s">
        <v>1806</v>
      </c>
      <c r="I5686" t="str">
        <f>IF(ISBLANK('Q 5'!K1392),"",IF('Q 5'!K1392="&lt;please select&gt;","",'Q 5'!K1392))</f>
        <v>1822.33</v>
      </c>
    </row>
    <row r="5687" spans="1:9" x14ac:dyDescent="0.3">
      <c r="A5687" t="s">
        <v>1910</v>
      </c>
      <c r="B5687" t="s">
        <v>1912</v>
      </c>
      <c r="C5687">
        <v>5</v>
      </c>
      <c r="D5687" t="s">
        <v>1447</v>
      </c>
      <c r="E5687" t="s">
        <v>1920</v>
      </c>
      <c r="F5687" t="s">
        <v>1806</v>
      </c>
      <c r="I5687" t="str">
        <f>IF(ISBLANK('Q 5'!K1393),"",IF('Q 5'!K1393="&lt;please select&gt;","",'Q 5'!K1393))</f>
        <v>1169.96</v>
      </c>
    </row>
    <row r="5688" spans="1:9" x14ac:dyDescent="0.3">
      <c r="A5688" t="s">
        <v>1910</v>
      </c>
      <c r="B5688" t="s">
        <v>1912</v>
      </c>
      <c r="C5688">
        <v>6</v>
      </c>
      <c r="D5688" t="s">
        <v>1447</v>
      </c>
      <c r="E5688" t="s">
        <v>1920</v>
      </c>
      <c r="F5688" t="s">
        <v>1806</v>
      </c>
      <c r="I5688" t="str">
        <f>IF(ISBLANK('Q 5'!K1394),"",IF('Q 5'!K1394="&lt;please select&gt;","",'Q 5'!K1394))</f>
        <v>600.69</v>
      </c>
    </row>
    <row r="5689" spans="1:9" x14ac:dyDescent="0.3">
      <c r="A5689" t="s">
        <v>1910</v>
      </c>
      <c r="B5689" t="s">
        <v>1912</v>
      </c>
      <c r="C5689">
        <v>7</v>
      </c>
      <c r="D5689" t="s">
        <v>1447</v>
      </c>
      <c r="E5689" t="s">
        <v>1920</v>
      </c>
      <c r="F5689" t="s">
        <v>1806</v>
      </c>
      <c r="I5689" t="str">
        <f>IF(ISBLANK('Q 5'!K1395),"",IF('Q 5'!K1395="&lt;please select&gt;","",'Q 5'!K1395))</f>
        <v>11264.17</v>
      </c>
    </row>
    <row r="5690" spans="1:9" x14ac:dyDescent="0.3">
      <c r="A5690" t="s">
        <v>1910</v>
      </c>
      <c r="B5690" t="s">
        <v>1912</v>
      </c>
      <c r="C5690">
        <v>8</v>
      </c>
      <c r="D5690" t="s">
        <v>1447</v>
      </c>
      <c r="E5690" t="s">
        <v>1920</v>
      </c>
      <c r="F5690" t="s">
        <v>1806</v>
      </c>
      <c r="I5690" t="str">
        <f>IF(ISBLANK('Q 5'!K1396),"",IF('Q 5'!K1396="&lt;please select&gt;","",'Q 5'!K1396))</f>
        <v>220.54</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3284230.65</v>
      </c>
    </row>
    <row r="5734" spans="1:11" x14ac:dyDescent="0.3">
      <c r="A5734" t="s">
        <v>1923</v>
      </c>
      <c r="B5734" t="s">
        <v>1924</v>
      </c>
      <c r="C5734">
        <v>0</v>
      </c>
      <c r="D5734" t="s">
        <v>1447</v>
      </c>
      <c r="E5734" t="s">
        <v>1924</v>
      </c>
      <c r="F5734" t="s">
        <v>1759</v>
      </c>
      <c r="K5734" t="str">
        <f>IF(ISBLANK('Q 5'!$I$1449),"",IF('Q 5'!$I$1449="&lt;please select&gt;","",'Q 5'!$I$1449))</f>
        <v>Yes</v>
      </c>
    </row>
    <row r="5735" spans="1:11" x14ac:dyDescent="0.3">
      <c r="A5735" t="s">
        <v>1923</v>
      </c>
      <c r="B5735" t="s">
        <v>1925</v>
      </c>
      <c r="C5735">
        <v>1</v>
      </c>
      <c r="D5735" t="s">
        <v>1447</v>
      </c>
      <c r="E5735" t="s">
        <v>1926</v>
      </c>
      <c r="F5735" t="s">
        <v>1737</v>
      </c>
      <c r="K5735" t="str">
        <f>IF(ISBLANK('Q 5'!C1452),"",IF('Q 5'!C1452="&lt;please select&gt;","",'Q 5'!C1452))</f>
        <v>Risk assessment carried out by the competent authority</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Using natural gas and/or more de-minimis source streams</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0</v>
      </c>
    </row>
    <row r="5746" spans="1:9" x14ac:dyDescent="0.3">
      <c r="A5746" t="s">
        <v>1928</v>
      </c>
      <c r="B5746" t="s">
        <v>1929</v>
      </c>
      <c r="C5746">
        <v>2</v>
      </c>
      <c r="D5746" t="s">
        <v>1447</v>
      </c>
      <c r="E5746" t="s">
        <v>1930</v>
      </c>
      <c r="F5746" t="s">
        <v>1748</v>
      </c>
      <c r="H5746" s="165" t="str">
        <f>IF(ISBLANK('Q 5'!E1463),"",IF('Q 5'!E1463="&lt;please select&gt;","",'Q 5'!E1463))</f>
        <v>8</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0.25</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275069</v>
      </c>
    </row>
    <row r="5752" spans="1:9" x14ac:dyDescent="0.3">
      <c r="A5752" t="s">
        <v>1932</v>
      </c>
      <c r="B5752" t="s">
        <v>1933</v>
      </c>
      <c r="C5752">
        <v>2</v>
      </c>
      <c r="D5752" t="s">
        <v>1447</v>
      </c>
      <c r="E5752" t="s">
        <v>1934</v>
      </c>
      <c r="F5752" t="s">
        <v>1806</v>
      </c>
      <c r="I5752" t="str">
        <f>IF(ISBLANK('Q 5'!G1473),"",IF('Q 5'!G1473="&lt;please select&gt;","",'Q 5'!G1473))</f>
        <v>70758.92595</v>
      </c>
    </row>
    <row r="5753" spans="1:9" x14ac:dyDescent="0.3">
      <c r="A5753" t="s">
        <v>1932</v>
      </c>
      <c r="B5753" t="s">
        <v>1933</v>
      </c>
      <c r="C5753">
        <v>3</v>
      </c>
      <c r="D5753" t="s">
        <v>1447</v>
      </c>
      <c r="E5753" t="s">
        <v>1934</v>
      </c>
      <c r="F5753" t="s">
        <v>1806</v>
      </c>
      <c r="I5753" t="str">
        <f>IF(ISBLANK('Q 5'!G1474),"",IF('Q 5'!G1474="&lt;please select&gt;","",'Q 5'!G1474))</f>
        <v>344685</v>
      </c>
    </row>
    <row r="5754" spans="1:9" x14ac:dyDescent="0.3">
      <c r="A5754" t="s">
        <v>1932</v>
      </c>
      <c r="B5754" t="s">
        <v>1933</v>
      </c>
      <c r="C5754">
        <v>4</v>
      </c>
      <c r="D5754" t="s">
        <v>1447</v>
      </c>
      <c r="E5754" t="s">
        <v>1934</v>
      </c>
      <c r="F5754" t="s">
        <v>1806</v>
      </c>
      <c r="I5754" t="str">
        <f>IF(ISBLANK('Q 5'!G1475),"",IF('Q 5'!G1475="&lt;please select&gt;","",'Q 5'!G1475))</f>
        <v>316663.35950637</v>
      </c>
    </row>
    <row r="5755" spans="1:9" x14ac:dyDescent="0.3">
      <c r="A5755" t="s">
        <v>1932</v>
      </c>
      <c r="B5755" t="s">
        <v>1933</v>
      </c>
      <c r="C5755">
        <v>5</v>
      </c>
      <c r="D5755" t="s">
        <v>1447</v>
      </c>
      <c r="E5755" t="s">
        <v>1934</v>
      </c>
      <c r="F5755" t="s">
        <v>1806</v>
      </c>
      <c r="I5755" t="str">
        <f>IF(ISBLANK('Q 5'!G1476),"",IF('Q 5'!G1476="&lt;please select&gt;","",'Q 5'!G1476))</f>
        <v>773</v>
      </c>
    </row>
    <row r="5756" spans="1:9" x14ac:dyDescent="0.3">
      <c r="A5756" t="s">
        <v>1932</v>
      </c>
      <c r="B5756" t="s">
        <v>1935</v>
      </c>
      <c r="C5756">
        <v>0</v>
      </c>
      <c r="D5756" t="s">
        <v>1447</v>
      </c>
      <c r="E5756" t="s">
        <v>1935</v>
      </c>
      <c r="F5756" t="s">
        <v>1748</v>
      </c>
      <c r="H5756" s="167" t="str">
        <f>IF(ISBLANK('Q 5'!$G$1479),"",IF('Q 5'!$G$1479="&lt;please select&gt;","",'Q 5'!$G$1479))</f>
        <v>5</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2</v>
      </c>
    </row>
    <row r="5764" spans="1:11" x14ac:dyDescent="0.3">
      <c r="A5764" t="s">
        <v>1943</v>
      </c>
      <c r="B5764" t="s">
        <v>1944</v>
      </c>
      <c r="C5764">
        <v>0</v>
      </c>
      <c r="D5764" t="s">
        <v>1447</v>
      </c>
      <c r="E5764" t="s">
        <v>1944</v>
      </c>
      <c r="F5764" t="s">
        <v>1748</v>
      </c>
      <c r="H5764" s="165" t="str">
        <f>IF(ISBLANK('Q 5'!$C$1500),"",IF('Q 5'!$C$1500="&lt;please select&gt;","",'Q 5'!$C$1500))</f>
        <v>4</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3</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1</v>
      </c>
    </row>
    <row r="5780" spans="1:11" x14ac:dyDescent="0.3">
      <c r="A5780" t="s">
        <v>1951</v>
      </c>
      <c r="B5780" t="s">
        <v>1952</v>
      </c>
      <c r="C5780">
        <v>4</v>
      </c>
      <c r="D5780" t="s">
        <v>1447</v>
      </c>
      <c r="E5780" t="s">
        <v>1953</v>
      </c>
      <c r="F5780" t="s">
        <v>1748</v>
      </c>
      <c r="H5780" s="165" t="str">
        <f>IF(ISBLANK('Q 6'!F11),"",IF('Q 6'!F11="&lt;please select&gt;","",'Q 6'!F11))</f>
        <v>0</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0</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3 - Metal ore (including sulphide ore) roasting or sintering, including pelletisation </v>
      </c>
    </row>
    <row r="5794" spans="1:11" x14ac:dyDescent="0.3">
      <c r="A5794" t="s">
        <v>1951</v>
      </c>
      <c r="B5794" t="s">
        <v>1957</v>
      </c>
      <c r="C5794">
        <v>6</v>
      </c>
      <c r="D5794" t="s">
        <v>1447</v>
      </c>
      <c r="E5794" t="s">
        <v>1958</v>
      </c>
      <c r="F5794" t="s">
        <v>1737</v>
      </c>
      <c r="K5794" t="str">
        <f>IF(ISBLANK('Q 6'!C22),"",IF('Q 6'!C22="&lt;please select&gt;","",'Q 6'!C22))</f>
        <v>3 - Production of pig iron or steel (primary or secondary fusion) including continuous casting</v>
      </c>
    </row>
    <row r="5795" spans="1:11" x14ac:dyDescent="0.3">
      <c r="A5795" t="s">
        <v>1951</v>
      </c>
      <c r="B5795" t="s">
        <v>1957</v>
      </c>
      <c r="C5795">
        <v>7</v>
      </c>
      <c r="D5795" t="s">
        <v>1447</v>
      </c>
      <c r="E5795" t="s">
        <v>1958</v>
      </c>
      <c r="F5795" t="s">
        <v>1737</v>
      </c>
      <c r="K5795" t="str">
        <f>IF(ISBLANK('Q 6'!C23),"",IF('Q 6'!C23="&lt;please select&gt;","",'Q 6'!C23))</f>
        <v xml:space="preserve">4 - Production or processing of ferrous metals (including ferro-alloys) </v>
      </c>
    </row>
    <row r="5796" spans="1:11" x14ac:dyDescent="0.3">
      <c r="A5796" t="s">
        <v>1951</v>
      </c>
      <c r="B5796" t="s">
        <v>1957</v>
      </c>
      <c r="C5796">
        <v>8</v>
      </c>
      <c r="D5796" t="s">
        <v>1447</v>
      </c>
      <c r="E5796" t="s">
        <v>1958</v>
      </c>
      <c r="F5796" t="s">
        <v>1737</v>
      </c>
      <c r="K5796" t="str">
        <f>IF(ISBLANK('Q 6'!C24),"",IF('Q 6'!C24="&lt;please select&gt;","",'Q 6'!C24))</f>
        <v xml:space="preserve">4 - Production of secondary aluminium </v>
      </c>
    </row>
    <row r="5797" spans="1:11" x14ac:dyDescent="0.3">
      <c r="A5797" t="s">
        <v>1951</v>
      </c>
      <c r="B5797" t="s">
        <v>1957</v>
      </c>
      <c r="C5797">
        <v>9</v>
      </c>
      <c r="D5797" t="s">
        <v>1447</v>
      </c>
      <c r="E5797" t="s">
        <v>1958</v>
      </c>
      <c r="F5797" t="s">
        <v>1737</v>
      </c>
      <c r="K5797" t="str">
        <f>IF(ISBLANK('Q 6'!C25),"",IF('Q 6'!C25="&lt;please select&gt;","",'Q 6'!C25))</f>
        <v xml:space="preserve">4 - Production or processing of non-ferrous metals, including production of alloys </v>
      </c>
    </row>
    <row r="5798" spans="1:11" x14ac:dyDescent="0.3">
      <c r="A5798" t="s">
        <v>1951</v>
      </c>
      <c r="B5798" t="s">
        <v>1957</v>
      </c>
      <c r="C5798">
        <v>10</v>
      </c>
      <c r="D5798" t="s">
        <v>1447</v>
      </c>
      <c r="E5798" t="s">
        <v>1958</v>
      </c>
      <c r="F5798" t="s">
        <v>1737</v>
      </c>
      <c r="K5798" t="str">
        <f>IF(ISBLANK('Q 6'!C26),"",IF('Q 6'!C26="&lt;please select&gt;","",'Q 6'!C26))</f>
        <v xml:space="preserve">5 - Production of primary aluminium (CO2 and PFC emissions) 6 </v>
      </c>
    </row>
    <row r="5799" spans="1:11" x14ac:dyDescent="0.3">
      <c r="A5799" t="s">
        <v>1951</v>
      </c>
      <c r="B5799" t="s">
        <v>1957</v>
      </c>
      <c r="C5799">
        <v>11</v>
      </c>
      <c r="D5799" t="s">
        <v>1447</v>
      </c>
      <c r="E5799" t="s">
        <v>1958</v>
      </c>
      <c r="F5799" t="s">
        <v>1737</v>
      </c>
      <c r="K5799" t="str">
        <f>IF(ISBLANK('Q 6'!C27),"",IF('Q 6'!C27="&lt;please select&gt;","",'Q 6'!C27))</f>
        <v xml:space="preserve">6 - Production of cement clinker </v>
      </c>
    </row>
    <row r="5800" spans="1:11" x14ac:dyDescent="0.3">
      <c r="A5800" t="s">
        <v>1951</v>
      </c>
      <c r="B5800" t="s">
        <v>1957</v>
      </c>
      <c r="C5800">
        <v>12</v>
      </c>
      <c r="D5800" t="s">
        <v>1447</v>
      </c>
      <c r="E5800" t="s">
        <v>1958</v>
      </c>
      <c r="F5800" t="s">
        <v>1737</v>
      </c>
      <c r="K5800" t="str">
        <f>IF(ISBLANK('Q 6'!C28),"",IF('Q 6'!C28="&lt;please select&gt;","",'Q 6'!C28))</f>
        <v xml:space="preserve">6 - Production of lime or calcination of dolomite or magnesite </v>
      </c>
    </row>
    <row r="5801" spans="1:11" x14ac:dyDescent="0.3">
      <c r="A5801" t="s">
        <v>1951</v>
      </c>
      <c r="B5801" t="s">
        <v>1957</v>
      </c>
      <c r="C5801">
        <v>13</v>
      </c>
      <c r="D5801" t="s">
        <v>1447</v>
      </c>
      <c r="E5801" t="s">
        <v>1958</v>
      </c>
      <c r="F5801" t="s">
        <v>1737</v>
      </c>
      <c r="K5801" t="str">
        <f>IF(ISBLANK('Q 6'!C29),"",IF('Q 6'!C29="&lt;please select&gt;","",'Q 6'!C29))</f>
        <v xml:space="preserve">6 - Manufacture of glass including glass fibre </v>
      </c>
    </row>
    <row r="5802" spans="1:11" x14ac:dyDescent="0.3">
      <c r="A5802" t="s">
        <v>1951</v>
      </c>
      <c r="B5802" t="s">
        <v>1957</v>
      </c>
      <c r="C5802">
        <v>14</v>
      </c>
      <c r="D5802" t="s">
        <v>1447</v>
      </c>
      <c r="E5802" t="s">
        <v>1958</v>
      </c>
      <c r="F5802" t="s">
        <v>1737</v>
      </c>
      <c r="K5802" t="str">
        <f>IF(ISBLANK('Q 6'!C30),"",IF('Q 6'!C30="&lt;please select&gt;","",'Q 6'!C30))</f>
        <v xml:space="preserve">6 - Manufacture of ceramic products by firing </v>
      </c>
    </row>
    <row r="5803" spans="1:11" x14ac:dyDescent="0.3">
      <c r="A5803" t="s">
        <v>1951</v>
      </c>
      <c r="B5803" t="s">
        <v>1957</v>
      </c>
      <c r="C5803">
        <v>15</v>
      </c>
      <c r="D5803" t="s">
        <v>1447</v>
      </c>
      <c r="E5803" t="s">
        <v>1958</v>
      </c>
      <c r="F5803" t="s">
        <v>1737</v>
      </c>
      <c r="K5803" t="str">
        <f>IF(ISBLANK('Q 6'!C31),"",IF('Q 6'!C31="&lt;please select&gt;","",'Q 6'!C31))</f>
        <v xml:space="preserve">6 - Manufacture of mineral wool insulation material </v>
      </c>
    </row>
    <row r="5804" spans="1:11" x14ac:dyDescent="0.3">
      <c r="A5804" t="s">
        <v>1951</v>
      </c>
      <c r="B5804" t="s">
        <v>1957</v>
      </c>
      <c r="C5804">
        <v>16</v>
      </c>
      <c r="D5804" t="s">
        <v>1447</v>
      </c>
      <c r="E5804" t="s">
        <v>1958</v>
      </c>
      <c r="F5804" t="s">
        <v>1737</v>
      </c>
      <c r="K5804" t="str">
        <f>IF(ISBLANK('Q 6'!C32),"",IF('Q 6'!C32="&lt;please select&gt;","",'Q 6'!C32))</f>
        <v>6 - Drying or calcination of gypsum or production of plaster boards and other gypsum products</v>
      </c>
    </row>
    <row r="5805" spans="1:11" x14ac:dyDescent="0.3">
      <c r="A5805" t="s">
        <v>1951</v>
      </c>
      <c r="B5805" t="s">
        <v>1957</v>
      </c>
      <c r="C5805">
        <v>17</v>
      </c>
      <c r="D5805" t="s">
        <v>1447</v>
      </c>
      <c r="E5805" t="s">
        <v>1958</v>
      </c>
      <c r="F5805" t="s">
        <v>1737</v>
      </c>
      <c r="K5805" t="str">
        <f>IF(ISBLANK('Q 6'!C33),"",IF('Q 6'!C33="&lt;please select&gt;","",'Q 6'!C33))</f>
        <v xml:space="preserve">7 - Production of pulp from timber or other fibrous materials </v>
      </c>
    </row>
    <row r="5806" spans="1:11" x14ac:dyDescent="0.3">
      <c r="A5806" t="s">
        <v>1951</v>
      </c>
      <c r="B5806" t="s">
        <v>1957</v>
      </c>
      <c r="C5806">
        <v>18</v>
      </c>
      <c r="D5806" t="s">
        <v>1447</v>
      </c>
      <c r="E5806" t="s">
        <v>1958</v>
      </c>
      <c r="F5806" t="s">
        <v>1737</v>
      </c>
      <c r="K5806" t="str">
        <f>IF(ISBLANK('Q 6'!C34),"",IF('Q 6'!C34="&lt;please select&gt;","",'Q 6'!C34))</f>
        <v>7 - Production of paper or cardboard</v>
      </c>
    </row>
    <row r="5807" spans="1:11" x14ac:dyDescent="0.3">
      <c r="A5807" t="s">
        <v>1951</v>
      </c>
      <c r="B5807" t="s">
        <v>1957</v>
      </c>
      <c r="C5807">
        <v>19</v>
      </c>
      <c r="D5807" t="s">
        <v>1447</v>
      </c>
      <c r="E5807" t="s">
        <v>1958</v>
      </c>
      <c r="F5807" t="s">
        <v>1737</v>
      </c>
      <c r="K5807" t="str">
        <f>IF(ISBLANK('Q 6'!C35),"",IF('Q 6'!C35="&lt;please select&gt;","",'Q 6'!C35))</f>
        <v xml:space="preserve">8 - Production of carbon black </v>
      </c>
    </row>
    <row r="5808" spans="1:11" x14ac:dyDescent="0.3">
      <c r="A5808" t="s">
        <v>1951</v>
      </c>
      <c r="B5808" t="s">
        <v>1957</v>
      </c>
      <c r="C5808">
        <v>20</v>
      </c>
      <c r="D5808" t="s">
        <v>1447</v>
      </c>
      <c r="E5808" t="s">
        <v>1958</v>
      </c>
      <c r="F5808" t="s">
        <v>1737</v>
      </c>
      <c r="K5808" t="str">
        <f>IF(ISBLANK('Q 6'!C36),"",IF('Q 6'!C36="&lt;please select&gt;","",'Q 6'!C36))</f>
        <v xml:space="preserve">8 - Production of ammonia </v>
      </c>
    </row>
    <row r="5809" spans="1:11" x14ac:dyDescent="0.3">
      <c r="A5809" t="s">
        <v>1951</v>
      </c>
      <c r="B5809" t="s">
        <v>1957</v>
      </c>
      <c r="C5809">
        <v>21</v>
      </c>
      <c r="D5809" t="s">
        <v>1447</v>
      </c>
      <c r="E5809" t="s">
        <v>1958</v>
      </c>
      <c r="F5809" t="s">
        <v>1737</v>
      </c>
      <c r="K5809" t="str">
        <f>IF(ISBLANK('Q 6'!C37),"",IF('Q 6'!C37="&lt;please select&gt;","",'Q 6'!C37))</f>
        <v xml:space="preserve">8 - Production of bulk organic chemicals by cracking, reforming, partial or full oxidation or by similar processes </v>
      </c>
    </row>
    <row r="5810" spans="1:11" x14ac:dyDescent="0.3">
      <c r="A5810" t="s">
        <v>1951</v>
      </c>
      <c r="B5810" t="s">
        <v>1957</v>
      </c>
      <c r="C5810">
        <v>22</v>
      </c>
      <c r="D5810" t="s">
        <v>1447</v>
      </c>
      <c r="E5810" t="s">
        <v>1958</v>
      </c>
      <c r="F5810" t="s">
        <v>1737</v>
      </c>
      <c r="K5810" t="str">
        <f>IF(ISBLANK('Q 6'!C38),"",IF('Q 6'!C38="&lt;please select&gt;","",'Q 6'!C38))</f>
        <v xml:space="preserve">8 - Production of hydrogen (H2) and synthesis gas by reforming or partial oxidation </v>
      </c>
    </row>
    <row r="5811" spans="1:11" x14ac:dyDescent="0.3">
      <c r="A5811" t="s">
        <v>1951</v>
      </c>
      <c r="B5811" t="s">
        <v>1957</v>
      </c>
      <c r="C5811">
        <v>23</v>
      </c>
      <c r="D5811" t="s">
        <v>1447</v>
      </c>
      <c r="E5811" t="s">
        <v>1958</v>
      </c>
      <c r="F5811" t="s">
        <v>1737</v>
      </c>
      <c r="K5811" t="str">
        <f>IF(ISBLANK('Q 6'!C39),"",IF('Q 6'!C39="&lt;please select&gt;","",'Q 6'!C39))</f>
        <v>8 - Production of soda ash (Na2CO3) and sodium bicarbonate (NaHCO3)</v>
      </c>
    </row>
    <row r="5812" spans="1:11" x14ac:dyDescent="0.3">
      <c r="A5812" t="s">
        <v>1951</v>
      </c>
      <c r="B5812" t="s">
        <v>1957</v>
      </c>
      <c r="C5812">
        <v>24</v>
      </c>
      <c r="D5812" t="s">
        <v>1447</v>
      </c>
      <c r="E5812" t="s">
        <v>1958</v>
      </c>
      <c r="F5812" t="s">
        <v>1737</v>
      </c>
      <c r="K5812" t="str">
        <f>IF(ISBLANK('Q 6'!C40),"",IF('Q 6'!C40="&lt;please select&gt;","",'Q 6'!C40))</f>
        <v>98 - Other activities pursuant to Article 10a of Directive 2003/87/EC</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3</v>
      </c>
    </row>
    <row r="5824" spans="1:11" x14ac:dyDescent="0.3">
      <c r="A5824" t="s">
        <v>1951</v>
      </c>
      <c r="B5824" t="s">
        <v>1957</v>
      </c>
      <c r="C5824">
        <v>2</v>
      </c>
      <c r="D5824" t="s">
        <v>1447</v>
      </c>
      <c r="E5824" t="s">
        <v>1959</v>
      </c>
      <c r="F5824" t="s">
        <v>1748</v>
      </c>
      <c r="H5824" s="165" t="str">
        <f>IF(ISBLANK('Q 6'!H18),"",IF('Q 6'!H18="&lt;please select&gt;","",'Q 6'!H18))</f>
        <v>3</v>
      </c>
    </row>
    <row r="5825" spans="1:8" x14ac:dyDescent="0.3">
      <c r="A5825" t="s">
        <v>1951</v>
      </c>
      <c r="B5825" t="s">
        <v>1957</v>
      </c>
      <c r="C5825">
        <v>3</v>
      </c>
      <c r="D5825" t="s">
        <v>1447</v>
      </c>
      <c r="E5825" t="s">
        <v>1959</v>
      </c>
      <c r="F5825" t="s">
        <v>1748</v>
      </c>
      <c r="H5825" s="165" t="str">
        <f>IF(ISBLANK('Q 6'!H19),"",IF('Q 6'!H19="&lt;please select&gt;","",'Q 6'!H19))</f>
        <v>2</v>
      </c>
    </row>
    <row r="5826" spans="1:8" x14ac:dyDescent="0.3">
      <c r="A5826" t="s">
        <v>1951</v>
      </c>
      <c r="B5826" t="s">
        <v>1957</v>
      </c>
      <c r="C5826">
        <v>4</v>
      </c>
      <c r="D5826" t="s">
        <v>1447</v>
      </c>
      <c r="E5826" t="s">
        <v>1959</v>
      </c>
      <c r="F5826" t="s">
        <v>1748</v>
      </c>
      <c r="H5826" s="165" t="str">
        <f>IF(ISBLANK('Q 6'!H20),"",IF('Q 6'!H20="&lt;please select&gt;","",'Q 6'!H20))</f>
        <v>1</v>
      </c>
    </row>
    <row r="5827" spans="1:8" x14ac:dyDescent="0.3">
      <c r="A5827" t="s">
        <v>1951</v>
      </c>
      <c r="B5827" t="s">
        <v>1957</v>
      </c>
      <c r="C5827">
        <v>5</v>
      </c>
      <c r="D5827" t="s">
        <v>1447</v>
      </c>
      <c r="E5827" t="s">
        <v>1959</v>
      </c>
      <c r="F5827" t="s">
        <v>1748</v>
      </c>
      <c r="H5827" s="165" t="str">
        <f>IF(ISBLANK('Q 6'!H21),"",IF('Q 6'!H21="&lt;please select&gt;","",'Q 6'!H21))</f>
        <v>1</v>
      </c>
    </row>
    <row r="5828" spans="1:8" x14ac:dyDescent="0.3">
      <c r="A5828" t="s">
        <v>1951</v>
      </c>
      <c r="B5828" t="s">
        <v>1957</v>
      </c>
      <c r="C5828">
        <v>6</v>
      </c>
      <c r="D5828" t="s">
        <v>1447</v>
      </c>
      <c r="E5828" t="s">
        <v>1959</v>
      </c>
      <c r="F5828" t="s">
        <v>1748</v>
      </c>
      <c r="H5828" s="165" t="str">
        <f>IF(ISBLANK('Q 6'!H22),"",IF('Q 6'!H22="&lt;please select&gt;","",'Q 6'!H22))</f>
        <v>1</v>
      </c>
    </row>
    <row r="5829" spans="1:8" x14ac:dyDescent="0.3">
      <c r="A5829" t="s">
        <v>1951</v>
      </c>
      <c r="B5829" t="s">
        <v>1957</v>
      </c>
      <c r="C5829">
        <v>7</v>
      </c>
      <c r="D5829" t="s">
        <v>1447</v>
      </c>
      <c r="E5829" t="s">
        <v>1959</v>
      </c>
      <c r="F5829" t="s">
        <v>1748</v>
      </c>
      <c r="H5829" s="165" t="str">
        <f>IF(ISBLANK('Q 6'!H23),"",IF('Q 6'!H23="&lt;please select&gt;","",'Q 6'!H23))</f>
        <v>2</v>
      </c>
    </row>
    <row r="5830" spans="1:8" x14ac:dyDescent="0.3">
      <c r="A5830" t="s">
        <v>1951</v>
      </c>
      <c r="B5830" t="s">
        <v>1957</v>
      </c>
      <c r="C5830">
        <v>8</v>
      </c>
      <c r="D5830" t="s">
        <v>1447</v>
      </c>
      <c r="E5830" t="s">
        <v>1959</v>
      </c>
      <c r="F5830" t="s">
        <v>1748</v>
      </c>
      <c r="H5830" s="165" t="str">
        <f>IF(ISBLANK('Q 6'!H24),"",IF('Q 6'!H24="&lt;please select&gt;","",'Q 6'!H24))</f>
        <v>2</v>
      </c>
    </row>
    <row r="5831" spans="1:8" x14ac:dyDescent="0.3">
      <c r="A5831" t="s">
        <v>1951</v>
      </c>
      <c r="B5831" t="s">
        <v>1957</v>
      </c>
      <c r="C5831">
        <v>9</v>
      </c>
      <c r="D5831" t="s">
        <v>1447</v>
      </c>
      <c r="E5831" t="s">
        <v>1959</v>
      </c>
      <c r="F5831" t="s">
        <v>1748</v>
      </c>
      <c r="H5831" s="165" t="str">
        <f>IF(ISBLANK('Q 6'!H25),"",IF('Q 6'!H25="&lt;please select&gt;","",'Q 6'!H25))</f>
        <v>2</v>
      </c>
    </row>
    <row r="5832" spans="1:8" x14ac:dyDescent="0.3">
      <c r="A5832" t="s">
        <v>1951</v>
      </c>
      <c r="B5832" t="s">
        <v>1957</v>
      </c>
      <c r="C5832">
        <v>10</v>
      </c>
      <c r="D5832" t="s">
        <v>1447</v>
      </c>
      <c r="E5832" t="s">
        <v>1959</v>
      </c>
      <c r="F5832" t="s">
        <v>1748</v>
      </c>
      <c r="H5832" s="165" t="str">
        <f>IF(ISBLANK('Q 6'!H26),"",IF('Q 6'!H26="&lt;please select&gt;","",'Q 6'!H26))</f>
        <v>1</v>
      </c>
    </row>
    <row r="5833" spans="1:8" x14ac:dyDescent="0.3">
      <c r="A5833" t="s">
        <v>1951</v>
      </c>
      <c r="B5833" t="s">
        <v>1957</v>
      </c>
      <c r="C5833">
        <v>11</v>
      </c>
      <c r="D5833" t="s">
        <v>1447</v>
      </c>
      <c r="E5833" t="s">
        <v>1959</v>
      </c>
      <c r="F5833" t="s">
        <v>1748</v>
      </c>
      <c r="H5833" s="165" t="str">
        <f>IF(ISBLANK('Q 6'!H27),"",IF('Q 6'!H27="&lt;please select&gt;","",'Q 6'!H27))</f>
        <v>3</v>
      </c>
    </row>
    <row r="5834" spans="1:8" x14ac:dyDescent="0.3">
      <c r="A5834" t="s">
        <v>1951</v>
      </c>
      <c r="B5834" t="s">
        <v>1957</v>
      </c>
      <c r="C5834">
        <v>12</v>
      </c>
      <c r="D5834" t="s">
        <v>1447</v>
      </c>
      <c r="E5834" t="s">
        <v>1959</v>
      </c>
      <c r="F5834" t="s">
        <v>1748</v>
      </c>
      <c r="H5834" s="165" t="str">
        <f>IF(ISBLANK('Q 6'!H28),"",IF('Q 6'!H28="&lt;please select&gt;","",'Q 6'!H28))</f>
        <v>3</v>
      </c>
    </row>
    <row r="5835" spans="1:8" x14ac:dyDescent="0.3">
      <c r="A5835" t="s">
        <v>1951</v>
      </c>
      <c r="B5835" t="s">
        <v>1957</v>
      </c>
      <c r="C5835">
        <v>13</v>
      </c>
      <c r="D5835" t="s">
        <v>1447</v>
      </c>
      <c r="E5835" t="s">
        <v>1959</v>
      </c>
      <c r="F5835" t="s">
        <v>1748</v>
      </c>
      <c r="H5835" s="165" t="str">
        <f>IF(ISBLANK('Q 6'!H29),"",IF('Q 6'!H29="&lt;please select&gt;","",'Q 6'!H29))</f>
        <v>3</v>
      </c>
    </row>
    <row r="5836" spans="1:8" x14ac:dyDescent="0.3">
      <c r="A5836" t="s">
        <v>1951</v>
      </c>
      <c r="B5836" t="s">
        <v>1957</v>
      </c>
      <c r="C5836">
        <v>14</v>
      </c>
      <c r="D5836" t="s">
        <v>1447</v>
      </c>
      <c r="E5836" t="s">
        <v>1959</v>
      </c>
      <c r="F5836" t="s">
        <v>1748</v>
      </c>
      <c r="H5836" s="165" t="str">
        <f>IF(ISBLANK('Q 6'!H30),"",IF('Q 6'!H30="&lt;please select&gt;","",'Q 6'!H30))</f>
        <v>3</v>
      </c>
    </row>
    <row r="5837" spans="1:8" x14ac:dyDescent="0.3">
      <c r="A5837" t="s">
        <v>1951</v>
      </c>
      <c r="B5837" t="s">
        <v>1957</v>
      </c>
      <c r="C5837">
        <v>15</v>
      </c>
      <c r="D5837" t="s">
        <v>1447</v>
      </c>
      <c r="E5837" t="s">
        <v>1959</v>
      </c>
      <c r="F5837" t="s">
        <v>1748</v>
      </c>
      <c r="H5837" s="165" t="str">
        <f>IF(ISBLANK('Q 6'!H31),"",IF('Q 6'!H31="&lt;please select&gt;","",'Q 6'!H31))</f>
        <v>3</v>
      </c>
    </row>
    <row r="5838" spans="1:8" x14ac:dyDescent="0.3">
      <c r="A5838" t="s">
        <v>1951</v>
      </c>
      <c r="B5838" t="s">
        <v>1957</v>
      </c>
      <c r="C5838">
        <v>16</v>
      </c>
      <c r="D5838" t="s">
        <v>1447</v>
      </c>
      <c r="E5838" t="s">
        <v>1959</v>
      </c>
      <c r="F5838" t="s">
        <v>1748</v>
      </c>
      <c r="H5838" s="165" t="str">
        <f>IF(ISBLANK('Q 6'!H32),"",IF('Q 6'!H32="&lt;please select&gt;","",'Q 6'!H32))</f>
        <v>3</v>
      </c>
    </row>
    <row r="5839" spans="1:8" x14ac:dyDescent="0.3">
      <c r="A5839" t="s">
        <v>1951</v>
      </c>
      <c r="B5839" t="s">
        <v>1957</v>
      </c>
      <c r="C5839">
        <v>17</v>
      </c>
      <c r="D5839" t="s">
        <v>1447</v>
      </c>
      <c r="E5839" t="s">
        <v>1959</v>
      </c>
      <c r="F5839" t="s">
        <v>1748</v>
      </c>
      <c r="H5839" s="165" t="str">
        <f>IF(ISBLANK('Q 6'!H33),"",IF('Q 6'!H33="&lt;please select&gt;","",'Q 6'!H33))</f>
        <v>2</v>
      </c>
    </row>
    <row r="5840" spans="1:8" x14ac:dyDescent="0.3">
      <c r="A5840" t="s">
        <v>1951</v>
      </c>
      <c r="B5840" t="s">
        <v>1957</v>
      </c>
      <c r="C5840">
        <v>18</v>
      </c>
      <c r="D5840" t="s">
        <v>1447</v>
      </c>
      <c r="E5840" t="s">
        <v>1959</v>
      </c>
      <c r="F5840" t="s">
        <v>1748</v>
      </c>
      <c r="H5840" s="165" t="str">
        <f>IF(ISBLANK('Q 6'!H34),"",IF('Q 6'!H34="&lt;please select&gt;","",'Q 6'!H34))</f>
        <v>2</v>
      </c>
    </row>
    <row r="5841" spans="1:8" x14ac:dyDescent="0.3">
      <c r="A5841" t="s">
        <v>1951</v>
      </c>
      <c r="B5841" t="s">
        <v>1957</v>
      </c>
      <c r="C5841">
        <v>19</v>
      </c>
      <c r="D5841" t="s">
        <v>1447</v>
      </c>
      <c r="E5841" t="s">
        <v>1959</v>
      </c>
      <c r="F5841" t="s">
        <v>1748</v>
      </c>
      <c r="H5841" s="165" t="str">
        <f>IF(ISBLANK('Q 6'!H35),"",IF('Q 6'!H35="&lt;please select&gt;","",'Q 6'!H35))</f>
        <v>1</v>
      </c>
    </row>
    <row r="5842" spans="1:8" x14ac:dyDescent="0.3">
      <c r="A5842" t="s">
        <v>1951</v>
      </c>
      <c r="B5842" t="s">
        <v>1957</v>
      </c>
      <c r="C5842">
        <v>20</v>
      </c>
      <c r="D5842" t="s">
        <v>1447</v>
      </c>
      <c r="E5842" t="s">
        <v>1959</v>
      </c>
      <c r="F5842" t="s">
        <v>1748</v>
      </c>
      <c r="H5842" s="165" t="str">
        <f>IF(ISBLANK('Q 6'!H36),"",IF('Q 6'!H36="&lt;please select&gt;","",'Q 6'!H36))</f>
        <v>1</v>
      </c>
    </row>
    <row r="5843" spans="1:8" x14ac:dyDescent="0.3">
      <c r="A5843" t="s">
        <v>1951</v>
      </c>
      <c r="B5843" t="s">
        <v>1957</v>
      </c>
      <c r="C5843">
        <v>21</v>
      </c>
      <c r="D5843" t="s">
        <v>1447</v>
      </c>
      <c r="E5843" t="s">
        <v>1959</v>
      </c>
      <c r="F5843" t="s">
        <v>1748</v>
      </c>
      <c r="H5843" s="165" t="str">
        <f>IF(ISBLANK('Q 6'!H37),"",IF('Q 6'!H37="&lt;please select&gt;","",'Q 6'!H37))</f>
        <v>1</v>
      </c>
    </row>
    <row r="5844" spans="1:8" x14ac:dyDescent="0.3">
      <c r="A5844" t="s">
        <v>1951</v>
      </c>
      <c r="B5844" t="s">
        <v>1957</v>
      </c>
      <c r="C5844">
        <v>22</v>
      </c>
      <c r="D5844" t="s">
        <v>1447</v>
      </c>
      <c r="E5844" t="s">
        <v>1959</v>
      </c>
      <c r="F5844" t="s">
        <v>1748</v>
      </c>
      <c r="H5844" s="165" t="str">
        <f>IF(ISBLANK('Q 6'!H38),"",IF('Q 6'!H38="&lt;please select&gt;","",'Q 6'!H38))</f>
        <v>1</v>
      </c>
    </row>
    <row r="5845" spans="1:8" x14ac:dyDescent="0.3">
      <c r="A5845" t="s">
        <v>1951</v>
      </c>
      <c r="B5845" t="s">
        <v>1957</v>
      </c>
      <c r="C5845">
        <v>23</v>
      </c>
      <c r="D5845" t="s">
        <v>1447</v>
      </c>
      <c r="E5845" t="s">
        <v>1959</v>
      </c>
      <c r="F5845" t="s">
        <v>1748</v>
      </c>
      <c r="H5845" s="165" t="str">
        <f>IF(ISBLANK('Q 6'!H39),"",IF('Q 6'!H39="&lt;please select&gt;","",'Q 6'!H39))</f>
        <v>1</v>
      </c>
    </row>
    <row r="5846" spans="1:8" x14ac:dyDescent="0.3">
      <c r="A5846" t="s">
        <v>1951</v>
      </c>
      <c r="B5846" t="s">
        <v>1957</v>
      </c>
      <c r="C5846">
        <v>24</v>
      </c>
      <c r="D5846" t="s">
        <v>1447</v>
      </c>
      <c r="E5846" t="s">
        <v>1959</v>
      </c>
      <c r="F5846" t="s">
        <v>1748</v>
      </c>
      <c r="H5846" s="165" t="str">
        <f>IF(ISBLANK('Q 6'!H40),"",IF('Q 6'!H40="&lt;please select&gt;","",'Q 6'!H40))</f>
        <v>3</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0</v>
      </c>
    </row>
    <row r="5858" spans="1:8" x14ac:dyDescent="0.3">
      <c r="A5858" t="s">
        <v>1951</v>
      </c>
      <c r="B5858" t="s">
        <v>1957</v>
      </c>
      <c r="C5858">
        <v>2</v>
      </c>
      <c r="D5858" t="s">
        <v>1447</v>
      </c>
      <c r="E5858" t="s">
        <v>1960</v>
      </c>
      <c r="F5858" t="s">
        <v>1748</v>
      </c>
      <c r="H5858" s="165" t="str">
        <f>IF(ISBLANK('Q 6'!I18),"",IF('Q 6'!I18="&lt;please select&gt;","",'Q 6'!I18))</f>
        <v>0</v>
      </c>
    </row>
    <row r="5859" spans="1:8" x14ac:dyDescent="0.3">
      <c r="A5859" t="s">
        <v>1951</v>
      </c>
      <c r="B5859" t="s">
        <v>1957</v>
      </c>
      <c r="C5859">
        <v>3</v>
      </c>
      <c r="D5859" t="s">
        <v>1447</v>
      </c>
      <c r="E5859" t="s">
        <v>1960</v>
      </c>
      <c r="F5859" t="s">
        <v>1748</v>
      </c>
      <c r="H5859" s="165" t="str">
        <f>IF(ISBLANK('Q 6'!I19),"",IF('Q 6'!I19="&lt;please select&gt;","",'Q 6'!I19))</f>
        <v>0</v>
      </c>
    </row>
    <row r="5860" spans="1:8" x14ac:dyDescent="0.3">
      <c r="A5860" t="s">
        <v>1951</v>
      </c>
      <c r="B5860" t="s">
        <v>1957</v>
      </c>
      <c r="C5860">
        <v>4</v>
      </c>
      <c r="D5860" t="s">
        <v>1447</v>
      </c>
      <c r="E5860" t="s">
        <v>1960</v>
      </c>
      <c r="F5860" t="s">
        <v>1748</v>
      </c>
      <c r="H5860" s="165" t="str">
        <f>IF(ISBLANK('Q 6'!I20),"",IF('Q 6'!I20="&lt;please select&gt;","",'Q 6'!I20))</f>
        <v>0</v>
      </c>
    </row>
    <row r="5861" spans="1:8" x14ac:dyDescent="0.3">
      <c r="A5861" t="s">
        <v>1951</v>
      </c>
      <c r="B5861" t="s">
        <v>1957</v>
      </c>
      <c r="C5861">
        <v>5</v>
      </c>
      <c r="D5861" t="s">
        <v>1447</v>
      </c>
      <c r="E5861" t="s">
        <v>1960</v>
      </c>
      <c r="F5861" t="s">
        <v>1748</v>
      </c>
      <c r="H5861" s="165" t="str">
        <f>IF(ISBLANK('Q 6'!I21),"",IF('Q 6'!I21="&lt;please select&gt;","",'Q 6'!I21))</f>
        <v>0</v>
      </c>
    </row>
    <row r="5862" spans="1:8" x14ac:dyDescent="0.3">
      <c r="A5862" t="s">
        <v>1951</v>
      </c>
      <c r="B5862" t="s">
        <v>1957</v>
      </c>
      <c r="C5862">
        <v>6</v>
      </c>
      <c r="D5862" t="s">
        <v>1447</v>
      </c>
      <c r="E5862" t="s">
        <v>1960</v>
      </c>
      <c r="F5862" t="s">
        <v>1748</v>
      </c>
      <c r="H5862" s="165" t="str">
        <f>IF(ISBLANK('Q 6'!I22),"",IF('Q 6'!I22="&lt;please select&gt;","",'Q 6'!I22))</f>
        <v>0</v>
      </c>
    </row>
    <row r="5863" spans="1:8" x14ac:dyDescent="0.3">
      <c r="A5863" t="s">
        <v>1951</v>
      </c>
      <c r="B5863" t="s">
        <v>1957</v>
      </c>
      <c r="C5863">
        <v>7</v>
      </c>
      <c r="D5863" t="s">
        <v>1447</v>
      </c>
      <c r="E5863" t="s">
        <v>1960</v>
      </c>
      <c r="F5863" t="s">
        <v>1748</v>
      </c>
      <c r="H5863" s="165" t="str">
        <f>IF(ISBLANK('Q 6'!I23),"",IF('Q 6'!I23="&lt;please select&gt;","",'Q 6'!I23))</f>
        <v>0</v>
      </c>
    </row>
    <row r="5864" spans="1:8" x14ac:dyDescent="0.3">
      <c r="A5864" t="s">
        <v>1951</v>
      </c>
      <c r="B5864" t="s">
        <v>1957</v>
      </c>
      <c r="C5864">
        <v>8</v>
      </c>
      <c r="D5864" t="s">
        <v>1447</v>
      </c>
      <c r="E5864" t="s">
        <v>1960</v>
      </c>
      <c r="F5864" t="s">
        <v>1748</v>
      </c>
      <c r="H5864" s="165" t="str">
        <f>IF(ISBLANK('Q 6'!I24),"",IF('Q 6'!I24="&lt;please select&gt;","",'Q 6'!I24))</f>
        <v>0</v>
      </c>
    </row>
    <row r="5865" spans="1:8" x14ac:dyDescent="0.3">
      <c r="A5865" t="s">
        <v>1951</v>
      </c>
      <c r="B5865" t="s">
        <v>1957</v>
      </c>
      <c r="C5865">
        <v>9</v>
      </c>
      <c r="D5865" t="s">
        <v>1447</v>
      </c>
      <c r="E5865" t="s">
        <v>1960</v>
      </c>
      <c r="F5865" t="s">
        <v>1748</v>
      </c>
      <c r="H5865" s="165" t="str">
        <f>IF(ISBLANK('Q 6'!I25),"",IF('Q 6'!I25="&lt;please select&gt;","",'Q 6'!I25))</f>
        <v>0</v>
      </c>
    </row>
    <row r="5866" spans="1:8" x14ac:dyDescent="0.3">
      <c r="A5866" t="s">
        <v>1951</v>
      </c>
      <c r="B5866" t="s">
        <v>1957</v>
      </c>
      <c r="C5866">
        <v>10</v>
      </c>
      <c r="D5866" t="s">
        <v>1447</v>
      </c>
      <c r="E5866" t="s">
        <v>1960</v>
      </c>
      <c r="F5866" t="s">
        <v>1748</v>
      </c>
      <c r="H5866" s="165" t="str">
        <f>IF(ISBLANK('Q 6'!I26),"",IF('Q 6'!I26="&lt;please select&gt;","",'Q 6'!I26))</f>
        <v>0</v>
      </c>
    </row>
    <row r="5867" spans="1:8" x14ac:dyDescent="0.3">
      <c r="A5867" t="s">
        <v>1951</v>
      </c>
      <c r="B5867" t="s">
        <v>1957</v>
      </c>
      <c r="C5867">
        <v>11</v>
      </c>
      <c r="D5867" t="s">
        <v>1447</v>
      </c>
      <c r="E5867" t="s">
        <v>1960</v>
      </c>
      <c r="F5867" t="s">
        <v>1748</v>
      </c>
      <c r="H5867" s="165" t="str">
        <f>IF(ISBLANK('Q 6'!I27),"",IF('Q 6'!I27="&lt;please select&gt;","",'Q 6'!I27))</f>
        <v>0</v>
      </c>
    </row>
    <row r="5868" spans="1:8" x14ac:dyDescent="0.3">
      <c r="A5868" t="s">
        <v>1951</v>
      </c>
      <c r="B5868" t="s">
        <v>1957</v>
      </c>
      <c r="C5868">
        <v>12</v>
      </c>
      <c r="D5868" t="s">
        <v>1447</v>
      </c>
      <c r="E5868" t="s">
        <v>1960</v>
      </c>
      <c r="F5868" t="s">
        <v>1748</v>
      </c>
      <c r="H5868" s="165" t="str">
        <f>IF(ISBLANK('Q 6'!I28),"",IF('Q 6'!I28="&lt;please select&gt;","",'Q 6'!I28))</f>
        <v>0</v>
      </c>
    </row>
    <row r="5869" spans="1:8" x14ac:dyDescent="0.3">
      <c r="A5869" t="s">
        <v>1951</v>
      </c>
      <c r="B5869" t="s">
        <v>1957</v>
      </c>
      <c r="C5869">
        <v>13</v>
      </c>
      <c r="D5869" t="s">
        <v>1447</v>
      </c>
      <c r="E5869" t="s">
        <v>1960</v>
      </c>
      <c r="F5869" t="s">
        <v>1748</v>
      </c>
      <c r="H5869" s="165" t="str">
        <f>IF(ISBLANK('Q 6'!I29),"",IF('Q 6'!I29="&lt;please select&gt;","",'Q 6'!I29))</f>
        <v>0</v>
      </c>
    </row>
    <row r="5870" spans="1:8" x14ac:dyDescent="0.3">
      <c r="A5870" t="s">
        <v>1951</v>
      </c>
      <c r="B5870" t="s">
        <v>1957</v>
      </c>
      <c r="C5870">
        <v>14</v>
      </c>
      <c r="D5870" t="s">
        <v>1447</v>
      </c>
      <c r="E5870" t="s">
        <v>1960</v>
      </c>
      <c r="F5870" t="s">
        <v>1748</v>
      </c>
      <c r="H5870" s="165" t="str">
        <f>IF(ISBLANK('Q 6'!I30),"",IF('Q 6'!I30="&lt;please select&gt;","",'Q 6'!I30))</f>
        <v>0</v>
      </c>
    </row>
    <row r="5871" spans="1:8" x14ac:dyDescent="0.3">
      <c r="A5871" t="s">
        <v>1951</v>
      </c>
      <c r="B5871" t="s">
        <v>1957</v>
      </c>
      <c r="C5871">
        <v>15</v>
      </c>
      <c r="D5871" t="s">
        <v>1447</v>
      </c>
      <c r="E5871" t="s">
        <v>1960</v>
      </c>
      <c r="F5871" t="s">
        <v>1748</v>
      </c>
      <c r="H5871" s="165" t="str">
        <f>IF(ISBLANK('Q 6'!I31),"",IF('Q 6'!I31="&lt;please select&gt;","",'Q 6'!I31))</f>
        <v>0</v>
      </c>
    </row>
    <row r="5872" spans="1:8" x14ac:dyDescent="0.3">
      <c r="A5872" t="s">
        <v>1951</v>
      </c>
      <c r="B5872" t="s">
        <v>1957</v>
      </c>
      <c r="C5872">
        <v>16</v>
      </c>
      <c r="D5872" t="s">
        <v>1447</v>
      </c>
      <c r="E5872" t="s">
        <v>1960</v>
      </c>
      <c r="F5872" t="s">
        <v>1748</v>
      </c>
      <c r="H5872" s="165" t="str">
        <f>IF(ISBLANK('Q 6'!I32),"",IF('Q 6'!I32="&lt;please select&gt;","",'Q 6'!I32))</f>
        <v>0</v>
      </c>
    </row>
    <row r="5873" spans="1:8" x14ac:dyDescent="0.3">
      <c r="A5873" t="s">
        <v>1951</v>
      </c>
      <c r="B5873" t="s">
        <v>1957</v>
      </c>
      <c r="C5873">
        <v>17</v>
      </c>
      <c r="D5873" t="s">
        <v>1447</v>
      </c>
      <c r="E5873" t="s">
        <v>1960</v>
      </c>
      <c r="F5873" t="s">
        <v>1748</v>
      </c>
      <c r="H5873" s="165" t="str">
        <f>IF(ISBLANK('Q 6'!I33),"",IF('Q 6'!I33="&lt;please select&gt;","",'Q 6'!I33))</f>
        <v>0</v>
      </c>
    </row>
    <row r="5874" spans="1:8" x14ac:dyDescent="0.3">
      <c r="A5874" t="s">
        <v>1951</v>
      </c>
      <c r="B5874" t="s">
        <v>1957</v>
      </c>
      <c r="C5874">
        <v>18</v>
      </c>
      <c r="D5874" t="s">
        <v>1447</v>
      </c>
      <c r="E5874" t="s">
        <v>1960</v>
      </c>
      <c r="F5874" t="s">
        <v>1748</v>
      </c>
      <c r="H5874" s="165" t="str">
        <f>IF(ISBLANK('Q 6'!I34),"",IF('Q 6'!I34="&lt;please select&gt;","",'Q 6'!I34))</f>
        <v>0</v>
      </c>
    </row>
    <row r="5875" spans="1:8" x14ac:dyDescent="0.3">
      <c r="A5875" t="s">
        <v>1951</v>
      </c>
      <c r="B5875" t="s">
        <v>1957</v>
      </c>
      <c r="C5875">
        <v>19</v>
      </c>
      <c r="D5875" t="s">
        <v>1447</v>
      </c>
      <c r="E5875" t="s">
        <v>1960</v>
      </c>
      <c r="F5875" t="s">
        <v>1748</v>
      </c>
      <c r="H5875" s="165" t="str">
        <f>IF(ISBLANK('Q 6'!I35),"",IF('Q 6'!I35="&lt;please select&gt;","",'Q 6'!I35))</f>
        <v>0</v>
      </c>
    </row>
    <row r="5876" spans="1:8" x14ac:dyDescent="0.3">
      <c r="A5876" t="s">
        <v>1951</v>
      </c>
      <c r="B5876" t="s">
        <v>1957</v>
      </c>
      <c r="C5876">
        <v>20</v>
      </c>
      <c r="D5876" t="s">
        <v>1447</v>
      </c>
      <c r="E5876" t="s">
        <v>1960</v>
      </c>
      <c r="F5876" t="s">
        <v>1748</v>
      </c>
      <c r="H5876" s="165" t="str">
        <f>IF(ISBLANK('Q 6'!I36),"",IF('Q 6'!I36="&lt;please select&gt;","",'Q 6'!I36))</f>
        <v>0</v>
      </c>
    </row>
    <row r="5877" spans="1:8" x14ac:dyDescent="0.3">
      <c r="A5877" t="s">
        <v>1951</v>
      </c>
      <c r="B5877" t="s">
        <v>1957</v>
      </c>
      <c r="C5877">
        <v>21</v>
      </c>
      <c r="D5877" t="s">
        <v>1447</v>
      </c>
      <c r="E5877" t="s">
        <v>1960</v>
      </c>
      <c r="F5877" t="s">
        <v>1748</v>
      </c>
      <c r="H5877" s="165" t="str">
        <f>IF(ISBLANK('Q 6'!I37),"",IF('Q 6'!I37="&lt;please select&gt;","",'Q 6'!I37))</f>
        <v>0</v>
      </c>
    </row>
    <row r="5878" spans="1:8" x14ac:dyDescent="0.3">
      <c r="A5878" t="s">
        <v>1951</v>
      </c>
      <c r="B5878" t="s">
        <v>1957</v>
      </c>
      <c r="C5878">
        <v>22</v>
      </c>
      <c r="D5878" t="s">
        <v>1447</v>
      </c>
      <c r="E5878" t="s">
        <v>1960</v>
      </c>
      <c r="F5878" t="s">
        <v>1748</v>
      </c>
      <c r="H5878" s="165" t="str">
        <f>IF(ISBLANK('Q 6'!I38),"",IF('Q 6'!I38="&lt;please select&gt;","",'Q 6'!I38))</f>
        <v>0</v>
      </c>
    </row>
    <row r="5879" spans="1:8" x14ac:dyDescent="0.3">
      <c r="A5879" t="s">
        <v>1951</v>
      </c>
      <c r="B5879" t="s">
        <v>1957</v>
      </c>
      <c r="C5879">
        <v>23</v>
      </c>
      <c r="D5879" t="s">
        <v>1447</v>
      </c>
      <c r="E5879" t="s">
        <v>1960</v>
      </c>
      <c r="F5879" t="s">
        <v>1748</v>
      </c>
      <c r="H5879" s="165" t="str">
        <f>IF(ISBLANK('Q 6'!I39),"",IF('Q 6'!I39="&lt;please select&gt;","",'Q 6'!I39))</f>
        <v>0</v>
      </c>
    </row>
    <row r="5880" spans="1:8" x14ac:dyDescent="0.3">
      <c r="A5880" t="s">
        <v>1951</v>
      </c>
      <c r="B5880" t="s">
        <v>1957</v>
      </c>
      <c r="C5880">
        <v>24</v>
      </c>
      <c r="D5880" t="s">
        <v>1447</v>
      </c>
      <c r="E5880" t="s">
        <v>1960</v>
      </c>
      <c r="F5880" t="s">
        <v>1748</v>
      </c>
      <c r="H5880" s="165" t="str">
        <f>IF(ISBLANK('Q 6'!I40),"",IF('Q 6'!I40="&lt;please select&gt;","",'Q 6'!I40))</f>
        <v>0</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Yes</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Yes</v>
      </c>
    </row>
    <row r="5895" spans="1:11" x14ac:dyDescent="0.3">
      <c r="A5895" t="s">
        <v>1961</v>
      </c>
      <c r="B5895" t="s">
        <v>1962</v>
      </c>
      <c r="C5895">
        <v>3</v>
      </c>
      <c r="D5895" t="s">
        <v>1447</v>
      </c>
      <c r="E5895" t="s">
        <v>1963</v>
      </c>
      <c r="F5895" t="s">
        <v>1759</v>
      </c>
      <c r="K5895" t="str">
        <f>IF(ISBLANK('Q 6'!$G$60),"",IF('Q 6'!$G$60="&lt;please select&gt;","",'Q 6'!$G$60))</f>
        <v>Partially</v>
      </c>
    </row>
    <row r="5896" spans="1:11" x14ac:dyDescent="0.3">
      <c r="A5896" t="s">
        <v>1961</v>
      </c>
      <c r="B5896" t="s">
        <v>1962</v>
      </c>
      <c r="C5896">
        <v>3</v>
      </c>
      <c r="D5896" t="s">
        <v>1447</v>
      </c>
      <c r="E5896" t="s">
        <v>1964</v>
      </c>
      <c r="F5896" t="s">
        <v>1759</v>
      </c>
      <c r="K5896" t="str">
        <f>IF(ISBLANK('Q 6'!$I$60),"",IF('Q 6'!$I$60="&lt;please select&gt;","",'Q 6'!$I$60))</f>
        <v>Partially</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1</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1</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DK-382</v>
      </c>
    </row>
    <row r="5914" spans="1:8" x14ac:dyDescent="0.3">
      <c r="A5914" t="s">
        <v>1975</v>
      </c>
      <c r="B5914" t="s">
        <v>1976</v>
      </c>
      <c r="C5914">
        <v>2</v>
      </c>
      <c r="D5914" t="s">
        <v>1447</v>
      </c>
      <c r="E5914" t="s">
        <v>1868</v>
      </c>
      <c r="F5914" t="s">
        <v>1741</v>
      </c>
      <c r="G5914" t="str">
        <f>IF(ISBLANK('Q 6'!C79),"",IF('Q 6'!C79="&lt;please select&gt;","",'Q 6'!C79))</f>
        <v>DK-401</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11</v>
      </c>
    </row>
    <row r="5954" spans="1:9" x14ac:dyDescent="0.3">
      <c r="A5954" t="s">
        <v>1975</v>
      </c>
      <c r="B5954" t="s">
        <v>1976</v>
      </c>
      <c r="C5954">
        <v>2</v>
      </c>
      <c r="D5954" t="s">
        <v>1447</v>
      </c>
      <c r="E5954" t="s">
        <v>1977</v>
      </c>
      <c r="F5954" t="s">
        <v>1806</v>
      </c>
      <c r="I5954" s="165" t="str">
        <f>IF(ISBLANK('Q 6'!D79),"",IF('Q 6'!D79="&lt;please select&gt;","",'Q 6'!D79))</f>
        <v>3</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No emission report submitted by the 31st of March</v>
      </c>
    </row>
    <row r="5994" spans="1:11" x14ac:dyDescent="0.3">
      <c r="A5994" t="s">
        <v>1975</v>
      </c>
      <c r="B5994" t="s">
        <v>1976</v>
      </c>
      <c r="C5994">
        <v>2</v>
      </c>
      <c r="D5994" t="s">
        <v>1447</v>
      </c>
      <c r="E5994" t="s">
        <v>1978</v>
      </c>
      <c r="F5994" t="s">
        <v>1737</v>
      </c>
      <c r="K5994" t="str">
        <f>IF(ISBLANK('Q 6'!E79),"",IF('Q 6'!E79="&lt;please select&gt;","",'Q 6'!E79))</f>
        <v>No emission report submitted by the 31st of March</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1</v>
      </c>
    </row>
    <row r="6034" spans="1:9" x14ac:dyDescent="0.3">
      <c r="A6034" t="s">
        <v>1975</v>
      </c>
      <c r="B6034" t="s">
        <v>1976</v>
      </c>
      <c r="C6034">
        <v>2</v>
      </c>
      <c r="D6034" t="s">
        <v>1447</v>
      </c>
      <c r="E6034" t="s">
        <v>1979</v>
      </c>
      <c r="F6034" t="s">
        <v>1806</v>
      </c>
      <c r="I6034" s="166" t="str">
        <f>IF(ISBLANK('Q 6'!F79),"",IF('Q 6'!F79="&lt;please select&gt;","",'Q 6'!F79))</f>
        <v>1</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Surrogate data (th only fuel source - natural gas - has been disconnected)</v>
      </c>
    </row>
    <row r="6074" spans="1:9" x14ac:dyDescent="0.3">
      <c r="A6074" t="s">
        <v>1975</v>
      </c>
      <c r="B6074" t="s">
        <v>1976</v>
      </c>
      <c r="C6074">
        <v>2</v>
      </c>
      <c r="D6074" t="s">
        <v>1447</v>
      </c>
      <c r="E6074" t="s">
        <v>1980</v>
      </c>
      <c r="F6074" t="s">
        <v>1741</v>
      </c>
      <c r="G6074" t="str">
        <f>IF(ISBLANK('Q 6'!G79),"",IF('Q 6'!G79="&lt;please select&gt;","",'Q 6'!G79))</f>
        <v>Surrogate data: Amount of electricity delivered to the grid and correlation between electricity delivered and gas oil combusted in earlier reportings.</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Reminder or formal warnings on sanctions sent to operator</v>
      </c>
    </row>
    <row r="6114" spans="1:11" x14ac:dyDescent="0.3">
      <c r="A6114" t="s">
        <v>1975</v>
      </c>
      <c r="B6114" t="s">
        <v>1976</v>
      </c>
      <c r="C6114">
        <v>2</v>
      </c>
      <c r="D6114" t="s">
        <v>1447</v>
      </c>
      <c r="E6114" t="s">
        <v>1981</v>
      </c>
      <c r="F6114" t="s">
        <v>1737</v>
      </c>
      <c r="K6114" t="str">
        <f>IF(ISBLANK('Q 6'!H79),"",IF('Q 6'!H79="&lt;please select&gt;","",'Q 6'!H79))</f>
        <v>Combination of the above</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Reminder and formal warning</v>
      </c>
    </row>
    <row r="6154" spans="1:11" x14ac:dyDescent="0.3">
      <c r="A6154" t="s">
        <v>1975</v>
      </c>
      <c r="B6154" t="s">
        <v>1976</v>
      </c>
      <c r="C6154">
        <v>2</v>
      </c>
      <c r="D6154" t="s">
        <v>1447</v>
      </c>
      <c r="E6154" t="s">
        <v>1982</v>
      </c>
      <c r="F6154" t="s">
        <v>1741</v>
      </c>
      <c r="G6154" t="str">
        <f>IF(ISBLANK('Q 6'!I79),"",IF('Q 6'!I79="&lt;please select&gt;","",'Q 6'!I79))</f>
        <v xml:space="preserve">Reminder, formal warning and fines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2</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35 - Production of pulp as specified in Annex I of Directive 2003/87/EC</v>
      </c>
    </row>
    <row r="6200" spans="1:11" x14ac:dyDescent="0.3">
      <c r="A6200" t="s">
        <v>1985</v>
      </c>
      <c r="B6200" t="s">
        <v>1987</v>
      </c>
      <c r="C6200">
        <v>3</v>
      </c>
      <c r="D6200" t="s">
        <v>1447</v>
      </c>
      <c r="E6200" t="s">
        <v>1988</v>
      </c>
      <c r="F6200" t="s">
        <v>1737</v>
      </c>
      <c r="K6200" t="str">
        <f>IF(ISBLANK('Q 6'!C135),"",IF('Q 6'!C135="&lt;please select&gt;","",'Q 6'!C135))</f>
        <v>20 - Combustion of fuels as specified in Annex I of Directive 2003/87/EC</v>
      </c>
    </row>
    <row r="6201" spans="1:11" x14ac:dyDescent="0.3">
      <c r="A6201" t="s">
        <v>1985</v>
      </c>
      <c r="B6201" t="s">
        <v>1987</v>
      </c>
      <c r="C6201">
        <v>4</v>
      </c>
      <c r="D6201" t="s">
        <v>1447</v>
      </c>
      <c r="E6201" t="s">
        <v>1988</v>
      </c>
      <c r="F6201" t="s">
        <v>1737</v>
      </c>
      <c r="K6201" t="str">
        <f>IF(ISBLANK('Q 6'!C136),"",IF('Q 6'!C136="&lt;please select&gt;","",'Q 6'!C136))</f>
        <v>35 - Production of pulp as specified in Annex I of Directive 2003/87/EC</v>
      </c>
    </row>
    <row r="6202" spans="1:11" x14ac:dyDescent="0.3">
      <c r="A6202" t="s">
        <v>1985</v>
      </c>
      <c r="B6202" t="s">
        <v>1987</v>
      </c>
      <c r="C6202">
        <v>5</v>
      </c>
      <c r="D6202" t="s">
        <v>1447</v>
      </c>
      <c r="E6202" t="s">
        <v>1988</v>
      </c>
      <c r="F6202" t="s">
        <v>1737</v>
      </c>
      <c r="K6202" t="str">
        <f>IF(ISBLANK('Q 6'!C137),"",IF('Q 6'!C137="&lt;please select&gt;","",'Q 6'!C137))</f>
        <v>20 - Combustion of fuels as specified in Annex I of Directive 2003/87/EC</v>
      </c>
    </row>
    <row r="6203" spans="1:11" x14ac:dyDescent="0.3">
      <c r="A6203" t="s">
        <v>1985</v>
      </c>
      <c r="B6203" t="s">
        <v>1987</v>
      </c>
      <c r="C6203">
        <v>6</v>
      </c>
      <c r="D6203" t="s">
        <v>1447</v>
      </c>
      <c r="E6203" t="s">
        <v>1988</v>
      </c>
      <c r="F6203" t="s">
        <v>1737</v>
      </c>
      <c r="K6203" t="str">
        <f>IF(ISBLANK('Q 6'!C138),"",IF('Q 6'!C138="&lt;please select&gt;","",'Q 6'!C138))</f>
        <v>35 - Production of pulp as specified in Annex I of Directive 2003/87/EC</v>
      </c>
    </row>
    <row r="6204" spans="1:11" x14ac:dyDescent="0.3">
      <c r="A6204" t="s">
        <v>1985</v>
      </c>
      <c r="B6204" t="s">
        <v>1987</v>
      </c>
      <c r="C6204">
        <v>7</v>
      </c>
      <c r="D6204" t="s">
        <v>1447</v>
      </c>
      <c r="E6204" t="s">
        <v>1988</v>
      </c>
      <c r="F6204" t="s">
        <v>1737</v>
      </c>
      <c r="K6204" t="str">
        <f>IF(ISBLANK('Q 6'!C139),"",IF('Q 6'!C139="&lt;please select&gt;","",'Q 6'!C139))</f>
        <v>32 - Manufacture of ceramic products as specified in Annex I of Directive 2003/87/EC</v>
      </c>
    </row>
    <row r="6205" spans="1:11" x14ac:dyDescent="0.3">
      <c r="A6205" t="s">
        <v>1985</v>
      </c>
      <c r="B6205" t="s">
        <v>1987</v>
      </c>
      <c r="C6205">
        <v>8</v>
      </c>
      <c r="D6205" t="s">
        <v>1447</v>
      </c>
      <c r="E6205" t="s">
        <v>1988</v>
      </c>
      <c r="F6205" t="s">
        <v>1737</v>
      </c>
      <c r="K6205" t="str">
        <f>IF(ISBLANK('Q 6'!C140),"",IF('Q 6'!C140="&lt;please select&gt;","",'Q 6'!C140))</f>
        <v>20 - Combustion of fuels as specified in Annex I of Directive 2003/87/EC</v>
      </c>
    </row>
    <row r="6206" spans="1:11" x14ac:dyDescent="0.3">
      <c r="A6206" t="s">
        <v>1985</v>
      </c>
      <c r="B6206" t="s">
        <v>1987</v>
      </c>
      <c r="C6206">
        <v>9</v>
      </c>
      <c r="D6206" t="s">
        <v>1447</v>
      </c>
      <c r="E6206" t="s">
        <v>1988</v>
      </c>
      <c r="F6206" t="s">
        <v>1737</v>
      </c>
      <c r="K6206" t="str">
        <f>IF(ISBLANK('Q 6'!C141),"",IF('Q 6'!C141="&lt;please select&gt;","",'Q 6'!C141))</f>
        <v>32 - Manufacture of ceramic products as specified in Annex I of Directive 2003/87/EC</v>
      </c>
    </row>
    <row r="6207" spans="1:11" x14ac:dyDescent="0.3">
      <c r="A6207" t="s">
        <v>1985</v>
      </c>
      <c r="B6207" t="s">
        <v>1987</v>
      </c>
      <c r="C6207">
        <v>10</v>
      </c>
      <c r="D6207" t="s">
        <v>1447</v>
      </c>
      <c r="E6207" t="s">
        <v>1988</v>
      </c>
      <c r="F6207" t="s">
        <v>1737</v>
      </c>
      <c r="K6207" t="str">
        <f>IF(ISBLANK('Q 6'!C142),"",IF('Q 6'!C142="&lt;please select&gt;","",'Q 6'!C142))</f>
        <v>35 - Production of pulp as specified in Annex I of Directive 2003/87/EC</v>
      </c>
    </row>
    <row r="6208" spans="1:11" x14ac:dyDescent="0.3">
      <c r="A6208" t="s">
        <v>1985</v>
      </c>
      <c r="B6208" t="s">
        <v>1987</v>
      </c>
      <c r="C6208">
        <v>11</v>
      </c>
      <c r="D6208" t="s">
        <v>1447</v>
      </c>
      <c r="E6208" t="s">
        <v>1988</v>
      </c>
      <c r="F6208" t="s">
        <v>1737</v>
      </c>
      <c r="K6208" t="str">
        <f>IF(ISBLANK('Q 6'!C143),"",IF('Q 6'!C143="&lt;please select&gt;","",'Q 6'!C143))</f>
        <v>34 - Drying or calcination of gypsum or production of plaster boards and other gypsum products, as specified in Annex I of Directive 2003/87/EC</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Non-material misstatements</v>
      </c>
    </row>
    <row r="6289" spans="1:11" x14ac:dyDescent="0.3">
      <c r="A6289" t="s">
        <v>1985</v>
      </c>
      <c r="B6289" t="s">
        <v>1987</v>
      </c>
      <c r="C6289">
        <v>2</v>
      </c>
      <c r="D6289" t="s">
        <v>1447</v>
      </c>
      <c r="E6289" t="s">
        <v>1989</v>
      </c>
      <c r="F6289" t="s">
        <v>1737</v>
      </c>
      <c r="K6289" t="str">
        <f>IF(ISBLANK('Q 6'!E134),"",IF('Q 6'!E134="&lt;please select&gt;","",'Q 6'!E134))</f>
        <v>Non-material misstatements</v>
      </c>
    </row>
    <row r="6290" spans="1:11" x14ac:dyDescent="0.3">
      <c r="A6290" t="s">
        <v>1985</v>
      </c>
      <c r="B6290" t="s">
        <v>1987</v>
      </c>
      <c r="C6290">
        <v>3</v>
      </c>
      <c r="D6290" t="s">
        <v>1447</v>
      </c>
      <c r="E6290" t="s">
        <v>1989</v>
      </c>
      <c r="F6290" t="s">
        <v>1737</v>
      </c>
      <c r="K6290" t="str">
        <f>IF(ISBLANK('Q 6'!E135),"",IF('Q 6'!E135="&lt;please select&gt;","",'Q 6'!E135))</f>
        <v>Non-conformities not leading to a negative verification opinion statement</v>
      </c>
    </row>
    <row r="6291" spans="1:11" x14ac:dyDescent="0.3">
      <c r="A6291" t="s">
        <v>1985</v>
      </c>
      <c r="B6291" t="s">
        <v>1987</v>
      </c>
      <c r="C6291">
        <v>4</v>
      </c>
      <c r="D6291" t="s">
        <v>1447</v>
      </c>
      <c r="E6291" t="s">
        <v>1989</v>
      </c>
      <c r="F6291" t="s">
        <v>1737</v>
      </c>
      <c r="K6291" t="str">
        <f>IF(ISBLANK('Q 6'!E136),"",IF('Q 6'!E136="&lt;please select&gt;","",'Q 6'!E136))</f>
        <v>Non-conformities not leading to a negative verification opinion statement</v>
      </c>
    </row>
    <row r="6292" spans="1:11" x14ac:dyDescent="0.3">
      <c r="A6292" t="s">
        <v>1985</v>
      </c>
      <c r="B6292" t="s">
        <v>1987</v>
      </c>
      <c r="C6292">
        <v>5</v>
      </c>
      <c r="D6292" t="s">
        <v>1447</v>
      </c>
      <c r="E6292" t="s">
        <v>1989</v>
      </c>
      <c r="F6292" t="s">
        <v>1737</v>
      </c>
      <c r="K6292" t="str">
        <f>IF(ISBLANK('Q 6'!E137),"",IF('Q 6'!E137="&lt;please select&gt;","",'Q 6'!E137))</f>
        <v>Non-compliance with Implementing Regulation (EU) 2018/2066</v>
      </c>
    </row>
    <row r="6293" spans="1:11" x14ac:dyDescent="0.3">
      <c r="A6293" t="s">
        <v>1985</v>
      </c>
      <c r="B6293" t="s">
        <v>1987</v>
      </c>
      <c r="C6293">
        <v>6</v>
      </c>
      <c r="D6293" t="s">
        <v>1447</v>
      </c>
      <c r="E6293" t="s">
        <v>1989</v>
      </c>
      <c r="F6293" t="s">
        <v>1737</v>
      </c>
      <c r="K6293" t="str">
        <f>IF(ISBLANK('Q 6'!E138),"",IF('Q 6'!E138="&lt;please select&gt;","",'Q 6'!E138))</f>
        <v>Non-compliance with Implementing Regulation (EU) 2018/2066</v>
      </c>
    </row>
    <row r="6294" spans="1:11" x14ac:dyDescent="0.3">
      <c r="A6294" t="s">
        <v>1985</v>
      </c>
      <c r="B6294" t="s">
        <v>1987</v>
      </c>
      <c r="C6294">
        <v>7</v>
      </c>
      <c r="D6294" t="s">
        <v>1447</v>
      </c>
      <c r="E6294" t="s">
        <v>1989</v>
      </c>
      <c r="F6294" t="s">
        <v>1737</v>
      </c>
      <c r="K6294" t="str">
        <f>IF(ISBLANK('Q 6'!E139),"",IF('Q 6'!E139="&lt;please select&gt;","",'Q 6'!E139))</f>
        <v>Non-compliance with Implementing Regulation (EU) 2018/2066</v>
      </c>
    </row>
    <row r="6295" spans="1:11" x14ac:dyDescent="0.3">
      <c r="A6295" t="s">
        <v>1985</v>
      </c>
      <c r="B6295" t="s">
        <v>1987</v>
      </c>
      <c r="C6295">
        <v>8</v>
      </c>
      <c r="D6295" t="s">
        <v>1447</v>
      </c>
      <c r="E6295" t="s">
        <v>1989</v>
      </c>
      <c r="F6295" t="s">
        <v>1737</v>
      </c>
      <c r="K6295" t="str">
        <f>IF(ISBLANK('Q 6'!E140),"",IF('Q 6'!E140="&lt;please select&gt;","",'Q 6'!E140))</f>
        <v>Recommendations for improvement</v>
      </c>
    </row>
    <row r="6296" spans="1:11" x14ac:dyDescent="0.3">
      <c r="A6296" t="s">
        <v>1985</v>
      </c>
      <c r="B6296" t="s">
        <v>1987</v>
      </c>
      <c r="C6296">
        <v>9</v>
      </c>
      <c r="D6296" t="s">
        <v>1447</v>
      </c>
      <c r="E6296" t="s">
        <v>1989</v>
      </c>
      <c r="F6296" t="s">
        <v>1737</v>
      </c>
      <c r="K6296" t="str">
        <f>IF(ISBLANK('Q 6'!E141),"",IF('Q 6'!E141="&lt;please select&gt;","",'Q 6'!E141))</f>
        <v>Recommendations for improvement</v>
      </c>
    </row>
    <row r="6297" spans="1:11" x14ac:dyDescent="0.3">
      <c r="A6297" t="s">
        <v>1985</v>
      </c>
      <c r="B6297" t="s">
        <v>1987</v>
      </c>
      <c r="C6297">
        <v>10</v>
      </c>
      <c r="D6297" t="s">
        <v>1447</v>
      </c>
      <c r="E6297" t="s">
        <v>1989</v>
      </c>
      <c r="F6297" t="s">
        <v>1737</v>
      </c>
      <c r="K6297" t="str">
        <f>IF(ISBLANK('Q 6'!E142),"",IF('Q 6'!E142="&lt;please select&gt;","",'Q 6'!E142))</f>
        <v>Recommendations for improvement</v>
      </c>
    </row>
    <row r="6298" spans="1:11" x14ac:dyDescent="0.3">
      <c r="A6298" t="s">
        <v>1985</v>
      </c>
      <c r="B6298" t="s">
        <v>1987</v>
      </c>
      <c r="C6298">
        <v>11</v>
      </c>
      <c r="D6298" t="s">
        <v>1447</v>
      </c>
      <c r="E6298" t="s">
        <v>1989</v>
      </c>
      <c r="F6298" t="s">
        <v>1737</v>
      </c>
      <c r="K6298" t="str">
        <f>IF(ISBLANK('Q 6'!E143),"",IF('Q 6'!E143="&lt;please select&gt;","",'Q 6'!E143))</f>
        <v>Recommendations for improvement</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4</v>
      </c>
    </row>
    <row r="6379" spans="1:11" x14ac:dyDescent="0.3">
      <c r="A6379" t="s">
        <v>1985</v>
      </c>
      <c r="B6379" t="s">
        <v>1987</v>
      </c>
      <c r="C6379">
        <v>2</v>
      </c>
      <c r="D6379" t="s">
        <v>1447</v>
      </c>
      <c r="E6379" t="s">
        <v>1798</v>
      </c>
      <c r="F6379" t="s">
        <v>1748</v>
      </c>
      <c r="H6379" s="165" t="str">
        <f>IF(ISBLANK('Q 6'!G134),"",IF('Q 6'!G134="&lt;please select&gt;","",'Q 6'!G134))</f>
        <v>1</v>
      </c>
    </row>
    <row r="6380" spans="1:11" x14ac:dyDescent="0.3">
      <c r="A6380" t="s">
        <v>1985</v>
      </c>
      <c r="B6380" t="s">
        <v>1987</v>
      </c>
      <c r="C6380">
        <v>3</v>
      </c>
      <c r="D6380" t="s">
        <v>1447</v>
      </c>
      <c r="E6380" t="s">
        <v>1798</v>
      </c>
      <c r="F6380" t="s">
        <v>1748</v>
      </c>
      <c r="H6380" s="165" t="str">
        <f>IF(ISBLANK('Q 6'!G135),"",IF('Q 6'!G135="&lt;please select&gt;","",'Q 6'!G135))</f>
        <v>24</v>
      </c>
    </row>
    <row r="6381" spans="1:11" x14ac:dyDescent="0.3">
      <c r="A6381" t="s">
        <v>1985</v>
      </c>
      <c r="B6381" t="s">
        <v>1987</v>
      </c>
      <c r="C6381">
        <v>4</v>
      </c>
      <c r="D6381" t="s">
        <v>1447</v>
      </c>
      <c r="E6381" t="s">
        <v>1798</v>
      </c>
      <c r="F6381" t="s">
        <v>1748</v>
      </c>
      <c r="H6381" s="165" t="str">
        <f>IF(ISBLANK('Q 6'!G136),"",IF('Q 6'!G136="&lt;please select&gt;","",'Q 6'!G136))</f>
        <v>1</v>
      </c>
    </row>
    <row r="6382" spans="1:11" x14ac:dyDescent="0.3">
      <c r="A6382" t="s">
        <v>1985</v>
      </c>
      <c r="B6382" t="s">
        <v>1987</v>
      </c>
      <c r="C6382">
        <v>5</v>
      </c>
      <c r="D6382" t="s">
        <v>1447</v>
      </c>
      <c r="E6382" t="s">
        <v>1798</v>
      </c>
      <c r="F6382" t="s">
        <v>1748</v>
      </c>
      <c r="H6382" s="165" t="str">
        <f>IF(ISBLANK('Q 6'!G137),"",IF('Q 6'!G137="&lt;please select&gt;","",'Q 6'!G137))</f>
        <v>27</v>
      </c>
    </row>
    <row r="6383" spans="1:11" x14ac:dyDescent="0.3">
      <c r="A6383" t="s">
        <v>1985</v>
      </c>
      <c r="B6383" t="s">
        <v>1987</v>
      </c>
      <c r="C6383">
        <v>6</v>
      </c>
      <c r="D6383" t="s">
        <v>1447</v>
      </c>
      <c r="E6383" t="s">
        <v>1798</v>
      </c>
      <c r="F6383" t="s">
        <v>1748</v>
      </c>
      <c r="H6383" s="165" t="str">
        <f>IF(ISBLANK('Q 6'!G138),"",IF('Q 6'!G138="&lt;please select&gt;","",'Q 6'!G138))</f>
        <v>1</v>
      </c>
    </row>
    <row r="6384" spans="1:11" x14ac:dyDescent="0.3">
      <c r="A6384" t="s">
        <v>1985</v>
      </c>
      <c r="B6384" t="s">
        <v>1987</v>
      </c>
      <c r="C6384">
        <v>7</v>
      </c>
      <c r="D6384" t="s">
        <v>1447</v>
      </c>
      <c r="E6384" t="s">
        <v>1798</v>
      </c>
      <c r="F6384" t="s">
        <v>1748</v>
      </c>
      <c r="H6384" s="165" t="str">
        <f>IF(ISBLANK('Q 6'!G139),"",IF('Q 6'!G139="&lt;please select&gt;","",'Q 6'!G139))</f>
        <v>1</v>
      </c>
    </row>
    <row r="6385" spans="1:8" x14ac:dyDescent="0.3">
      <c r="A6385" t="s">
        <v>1985</v>
      </c>
      <c r="B6385" t="s">
        <v>1987</v>
      </c>
      <c r="C6385">
        <v>8</v>
      </c>
      <c r="D6385" t="s">
        <v>1447</v>
      </c>
      <c r="E6385" t="s">
        <v>1798</v>
      </c>
      <c r="F6385" t="s">
        <v>1748</v>
      </c>
      <c r="H6385" s="165" t="str">
        <f>IF(ISBLANK('Q 6'!G140),"",IF('Q 6'!G140="&lt;please select&gt;","",'Q 6'!G140))</f>
        <v>48</v>
      </c>
    </row>
    <row r="6386" spans="1:8" x14ac:dyDescent="0.3">
      <c r="A6386" t="s">
        <v>1985</v>
      </c>
      <c r="B6386" t="s">
        <v>1987</v>
      </c>
      <c r="C6386">
        <v>9</v>
      </c>
      <c r="D6386" t="s">
        <v>1447</v>
      </c>
      <c r="E6386" t="s">
        <v>1798</v>
      </c>
      <c r="F6386" t="s">
        <v>1748</v>
      </c>
      <c r="H6386" s="165" t="str">
        <f>IF(ISBLANK('Q 6'!G141),"",IF('Q 6'!G141="&lt;please select&gt;","",'Q 6'!G141))</f>
        <v>1</v>
      </c>
    </row>
    <row r="6387" spans="1:8" x14ac:dyDescent="0.3">
      <c r="A6387" t="s">
        <v>1985</v>
      </c>
      <c r="B6387" t="s">
        <v>1987</v>
      </c>
      <c r="C6387">
        <v>10</v>
      </c>
      <c r="D6387" t="s">
        <v>1447</v>
      </c>
      <c r="E6387" t="s">
        <v>1798</v>
      </c>
      <c r="F6387" t="s">
        <v>1748</v>
      </c>
      <c r="H6387" s="165" t="str">
        <f>IF(ISBLANK('Q 6'!G142),"",IF('Q 6'!G142="&lt;please select&gt;","",'Q 6'!G142))</f>
        <v>1</v>
      </c>
    </row>
    <row r="6388" spans="1:8" x14ac:dyDescent="0.3">
      <c r="A6388" t="s">
        <v>1985</v>
      </c>
      <c r="B6388" t="s">
        <v>1987</v>
      </c>
      <c r="C6388">
        <v>11</v>
      </c>
      <c r="D6388" t="s">
        <v>1447</v>
      </c>
      <c r="E6388" t="s">
        <v>1798</v>
      </c>
      <c r="F6388" t="s">
        <v>1748</v>
      </c>
      <c r="H6388" s="165" t="str">
        <f>IF(ISBLANK('Q 6'!G143),"",IF('Q 6'!G143="&lt;please select&gt;","",'Q 6'!G143))</f>
        <v>1</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4</v>
      </c>
    </row>
    <row r="6469" spans="1:8" x14ac:dyDescent="0.3">
      <c r="A6469" t="s">
        <v>1985</v>
      </c>
      <c r="B6469" t="s">
        <v>1987</v>
      </c>
      <c r="C6469">
        <v>2</v>
      </c>
      <c r="D6469" t="s">
        <v>1447</v>
      </c>
      <c r="E6469" t="s">
        <v>1972</v>
      </c>
      <c r="F6469" t="s">
        <v>1748</v>
      </c>
      <c r="H6469" s="165" t="str">
        <f>IF(ISBLANK('Q 6'!H134),"",IF('Q 6'!H134="&lt;please select&gt;","",'Q 6'!H134))</f>
        <v>1</v>
      </c>
    </row>
    <row r="6470" spans="1:8" x14ac:dyDescent="0.3">
      <c r="A6470" t="s">
        <v>1985</v>
      </c>
      <c r="B6470" t="s">
        <v>1987</v>
      </c>
      <c r="C6470">
        <v>3</v>
      </c>
      <c r="D6470" t="s">
        <v>1447</v>
      </c>
      <c r="E6470" t="s">
        <v>1972</v>
      </c>
      <c r="F6470" t="s">
        <v>1748</v>
      </c>
      <c r="H6470" s="165" t="str">
        <f>IF(ISBLANK('Q 6'!H135),"",IF('Q 6'!H135="&lt;please select&gt;","",'Q 6'!H135))</f>
        <v>26</v>
      </c>
    </row>
    <row r="6471" spans="1:8" x14ac:dyDescent="0.3">
      <c r="A6471" t="s">
        <v>1985</v>
      </c>
      <c r="B6471" t="s">
        <v>1987</v>
      </c>
      <c r="C6471">
        <v>4</v>
      </c>
      <c r="D6471" t="s">
        <v>1447</v>
      </c>
      <c r="E6471" t="s">
        <v>1972</v>
      </c>
      <c r="F6471" t="s">
        <v>1748</v>
      </c>
      <c r="H6471" s="165" t="str">
        <f>IF(ISBLANK('Q 6'!H136),"",IF('Q 6'!H136="&lt;please select&gt;","",'Q 6'!H136))</f>
        <v>2</v>
      </c>
    </row>
    <row r="6472" spans="1:8" x14ac:dyDescent="0.3">
      <c r="A6472" t="s">
        <v>1985</v>
      </c>
      <c r="B6472" t="s">
        <v>1987</v>
      </c>
      <c r="C6472">
        <v>5</v>
      </c>
      <c r="D6472" t="s">
        <v>1447</v>
      </c>
      <c r="E6472" t="s">
        <v>1972</v>
      </c>
      <c r="F6472" t="s">
        <v>1748</v>
      </c>
      <c r="H6472" s="165" t="str">
        <f>IF(ISBLANK('Q 6'!H137),"",IF('Q 6'!H137="&lt;please select&gt;","",'Q 6'!H137))</f>
        <v>35</v>
      </c>
    </row>
    <row r="6473" spans="1:8" x14ac:dyDescent="0.3">
      <c r="A6473" t="s">
        <v>1985</v>
      </c>
      <c r="B6473" t="s">
        <v>1987</v>
      </c>
      <c r="C6473">
        <v>6</v>
      </c>
      <c r="D6473" t="s">
        <v>1447</v>
      </c>
      <c r="E6473" t="s">
        <v>1972</v>
      </c>
      <c r="F6473" t="s">
        <v>1748</v>
      </c>
      <c r="H6473" s="165" t="str">
        <f>IF(ISBLANK('Q 6'!H138),"",IF('Q 6'!H138="&lt;please select&gt;","",'Q 6'!H138))</f>
        <v>1</v>
      </c>
    </row>
    <row r="6474" spans="1:8" x14ac:dyDescent="0.3">
      <c r="A6474" t="s">
        <v>1985</v>
      </c>
      <c r="B6474" t="s">
        <v>1987</v>
      </c>
      <c r="C6474">
        <v>7</v>
      </c>
      <c r="D6474" t="s">
        <v>1447</v>
      </c>
      <c r="E6474" t="s">
        <v>1972</v>
      </c>
      <c r="F6474" t="s">
        <v>1748</v>
      </c>
      <c r="H6474" s="165" t="str">
        <f>IF(ISBLANK('Q 6'!H139),"",IF('Q 6'!H139="&lt;please select&gt;","",'Q 6'!H139))</f>
        <v>1</v>
      </c>
    </row>
    <row r="6475" spans="1:8" x14ac:dyDescent="0.3">
      <c r="A6475" t="s">
        <v>1985</v>
      </c>
      <c r="B6475" t="s">
        <v>1987</v>
      </c>
      <c r="C6475">
        <v>8</v>
      </c>
      <c r="D6475" t="s">
        <v>1447</v>
      </c>
      <c r="E6475" t="s">
        <v>1972</v>
      </c>
      <c r="F6475" t="s">
        <v>1748</v>
      </c>
      <c r="H6475" s="165" t="str">
        <f>IF(ISBLANK('Q 6'!H140),"",IF('Q 6'!H140="&lt;please select&gt;","",'Q 6'!H140))</f>
        <v>52</v>
      </c>
    </row>
    <row r="6476" spans="1:8" x14ac:dyDescent="0.3">
      <c r="A6476" t="s">
        <v>1985</v>
      </c>
      <c r="B6476" t="s">
        <v>1987</v>
      </c>
      <c r="C6476">
        <v>9</v>
      </c>
      <c r="D6476" t="s">
        <v>1447</v>
      </c>
      <c r="E6476" t="s">
        <v>1972</v>
      </c>
      <c r="F6476" t="s">
        <v>1748</v>
      </c>
      <c r="H6476" s="165" t="str">
        <f>IF(ISBLANK('Q 6'!H141),"",IF('Q 6'!H141="&lt;please select&gt;","",'Q 6'!H141))</f>
        <v>1</v>
      </c>
    </row>
    <row r="6477" spans="1:8" x14ac:dyDescent="0.3">
      <c r="A6477" t="s">
        <v>1985</v>
      </c>
      <c r="B6477" t="s">
        <v>1987</v>
      </c>
      <c r="C6477">
        <v>10</v>
      </c>
      <c r="D6477" t="s">
        <v>1447</v>
      </c>
      <c r="E6477" t="s">
        <v>1972</v>
      </c>
      <c r="F6477" t="s">
        <v>1748</v>
      </c>
      <c r="H6477" s="165" t="str">
        <f>IF(ISBLANK('Q 6'!H142),"",IF('Q 6'!H142="&lt;please select&gt;","",'Q 6'!H142))</f>
        <v>2</v>
      </c>
    </row>
    <row r="6478" spans="1:8" x14ac:dyDescent="0.3">
      <c r="A6478" t="s">
        <v>1985</v>
      </c>
      <c r="B6478" t="s">
        <v>1987</v>
      </c>
      <c r="C6478">
        <v>11</v>
      </c>
      <c r="D6478" t="s">
        <v>1447</v>
      </c>
      <c r="E6478" t="s">
        <v>1972</v>
      </c>
      <c r="F6478" t="s">
        <v>1748</v>
      </c>
      <c r="H6478" s="165" t="str">
        <f>IF(ISBLANK('Q 6'!H143),"",IF('Q 6'!H143="&lt;please select&gt;","",'Q 6'!H143))</f>
        <v>1</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0</v>
      </c>
    </row>
    <row r="6565" spans="1:9" x14ac:dyDescent="0.3">
      <c r="A6565" t="s">
        <v>1985</v>
      </c>
      <c r="B6565" t="s">
        <v>1987</v>
      </c>
      <c r="C6565">
        <v>8</v>
      </c>
      <c r="D6565" t="s">
        <v>1447</v>
      </c>
      <c r="E6565" t="s">
        <v>1990</v>
      </c>
      <c r="F6565" t="s">
        <v>1806</v>
      </c>
      <c r="I6565" s="166" t="str">
        <f>IF(ISBLANK('Q 6'!I140),"",IF('Q 6'!I140="&lt;please select&gt;","",'Q 6'!I140))</f>
        <v>0</v>
      </c>
    </row>
    <row r="6566" spans="1:9" x14ac:dyDescent="0.3">
      <c r="A6566" t="s">
        <v>1985</v>
      </c>
      <c r="B6566" t="s">
        <v>1987</v>
      </c>
      <c r="C6566">
        <v>9</v>
      </c>
      <c r="D6566" t="s">
        <v>1447</v>
      </c>
      <c r="E6566" t="s">
        <v>1990</v>
      </c>
      <c r="F6566" t="s">
        <v>1806</v>
      </c>
      <c r="I6566" s="166" t="str">
        <f>IF(ISBLANK('Q 6'!I141),"",IF('Q 6'!I141="&lt;please select&gt;","",'Q 6'!I141))</f>
        <v>0</v>
      </c>
    </row>
    <row r="6567" spans="1:9" x14ac:dyDescent="0.3">
      <c r="A6567" t="s">
        <v>1985</v>
      </c>
      <c r="B6567" t="s">
        <v>1987</v>
      </c>
      <c r="C6567">
        <v>10</v>
      </c>
      <c r="D6567" t="s">
        <v>1447</v>
      </c>
      <c r="E6567" t="s">
        <v>1990</v>
      </c>
      <c r="F6567" t="s">
        <v>1806</v>
      </c>
      <c r="I6567" s="166" t="str">
        <f>IF(ISBLANK('Q 6'!I142),"",IF('Q 6'!I142="&lt;please select&gt;","",'Q 6'!I142))</f>
        <v>0</v>
      </c>
    </row>
    <row r="6568" spans="1:9" x14ac:dyDescent="0.3">
      <c r="A6568" t="s">
        <v>1985</v>
      </c>
      <c r="B6568" t="s">
        <v>1987</v>
      </c>
      <c r="C6568">
        <v>11</v>
      </c>
      <c r="D6568" t="s">
        <v>1447</v>
      </c>
      <c r="E6568" t="s">
        <v>1990</v>
      </c>
      <c r="F6568" t="s">
        <v>1806</v>
      </c>
      <c r="I6568" s="166" t="str">
        <f>IF(ISBLANK('Q 6'!I143),"",IF('Q 6'!I143="&lt;please select&gt;","",'Q 6'!I143))</f>
        <v>0</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0.793548387096774</v>
      </c>
    </row>
    <row r="6653" spans="1:11" x14ac:dyDescent="0.3">
      <c r="A6653" t="s">
        <v>1991</v>
      </c>
      <c r="B6653" t="s">
        <v>1993</v>
      </c>
      <c r="C6653">
        <v>5</v>
      </c>
      <c r="D6653" t="s">
        <v>1447</v>
      </c>
      <c r="E6653" t="s">
        <v>1994</v>
      </c>
      <c r="F6653" t="s">
        <v>1806</v>
      </c>
      <c r="I6653" s="166" t="str">
        <f>IF(ISBLANK('Q 6'!G233),"",IF('Q 6'!G233="&lt;please select&gt;","",'Q 6'!G233))</f>
        <v>0.538709677419355</v>
      </c>
    </row>
    <row r="6654" spans="1:11" x14ac:dyDescent="0.3">
      <c r="A6654" t="s">
        <v>1991</v>
      </c>
      <c r="B6654" t="s">
        <v>1993</v>
      </c>
      <c r="C6654">
        <v>4</v>
      </c>
      <c r="D6654" t="s">
        <v>1447</v>
      </c>
      <c r="E6654" t="s">
        <v>1995</v>
      </c>
      <c r="F6654" t="s">
        <v>1791</v>
      </c>
      <c r="J6654" t="str">
        <f>IF(ISBLANK('Q 6'!$H$232),"",IF('Q 6'!$H$232="&lt;please select&gt;","",'Q 6'!$H$232))</f>
        <v>All installations that deliver energy to the grid are cross checked with other energy reporting (246/310)</v>
      </c>
    </row>
    <row r="6655" spans="1:11" x14ac:dyDescent="0.3">
      <c r="A6655" t="s">
        <v>1991</v>
      </c>
      <c r="B6655" t="s">
        <v>1993</v>
      </c>
      <c r="C6655">
        <v>5</v>
      </c>
      <c r="D6655" t="s">
        <v>1447</v>
      </c>
      <c r="E6655" t="s">
        <v>1995</v>
      </c>
      <c r="F6655" t="s">
        <v>1791</v>
      </c>
      <c r="J6655" t="str">
        <f>IF(ISBLANK('Q 6'!$I$233),"",IF('Q 6'!$I$233="&lt;please select&gt;","",'Q 6'!$I$233))</f>
        <v>All emission reports and verification reports are checked in a spread sheet and compared with information from the monitoring plans. 54 % of all installations where then examined in detail because of flags/warnings in the spread sheet. Other installations have been examined because of other reasons. The control continues after 30 June.</v>
      </c>
    </row>
    <row r="6656" spans="1:11" x14ac:dyDescent="0.3">
      <c r="A6656" t="s">
        <v>1991</v>
      </c>
      <c r="B6656" t="s">
        <v>1993</v>
      </c>
      <c r="C6656">
        <v>5</v>
      </c>
      <c r="D6656" t="s">
        <v>1447</v>
      </c>
      <c r="E6656" t="s">
        <v>1996</v>
      </c>
      <c r="F6656" t="s">
        <v>1737</v>
      </c>
      <c r="K6656" t="str">
        <f>IF(ISBLANK('Q 6'!$H$233),"",IF('Q 6'!$H$233="&lt;please select&gt;","",'Q 6'!$H$233))</f>
        <v>Other, please specify</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None</v>
      </c>
    </row>
    <row r="6660" spans="1:11" x14ac:dyDescent="0.3">
      <c r="A6660" t="s">
        <v>1991</v>
      </c>
      <c r="B6660" t="s">
        <v>1999</v>
      </c>
      <c r="C6660">
        <v>1</v>
      </c>
      <c r="D6660" t="s">
        <v>1447</v>
      </c>
      <c r="E6660" t="s">
        <v>2000</v>
      </c>
      <c r="F6660" t="s">
        <v>1741</v>
      </c>
      <c r="G6660" t="str">
        <f>IF(ISBLANK('Q 6'!G236),"",IF('Q 6'!G236="&lt;please select&gt;","",'Q 6'!G236))</f>
        <v>None</v>
      </c>
    </row>
    <row r="6661" spans="1:11" x14ac:dyDescent="0.3">
      <c r="A6661" t="s">
        <v>1991</v>
      </c>
      <c r="B6661" t="s">
        <v>1999</v>
      </c>
      <c r="C6661">
        <v>2</v>
      </c>
      <c r="D6661" t="s">
        <v>1419</v>
      </c>
      <c r="E6661" t="s">
        <v>2000</v>
      </c>
      <c r="F6661" t="s">
        <v>1791</v>
      </c>
      <c r="J6661" t="str">
        <f>IF(ISBLANK('Q 6'!G237),"",IF('Q 6'!G237="&lt;please select&gt;","",'Q 6'!G237))</f>
        <v>Updating monitoring plans, conservative estimation of emissions, report to the relevant accrediting bodies.</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Yes</v>
      </c>
    </row>
    <row r="6724" spans="1:11" x14ac:dyDescent="0.3">
      <c r="A6724" t="s">
        <v>2001</v>
      </c>
      <c r="B6724" t="s">
        <v>2006</v>
      </c>
      <c r="C6724">
        <v>0</v>
      </c>
      <c r="D6724" t="s">
        <v>1447</v>
      </c>
      <c r="E6724" t="s">
        <v>2006</v>
      </c>
      <c r="F6724" t="s">
        <v>1748</v>
      </c>
      <c r="H6724" s="165" t="str">
        <f>IF(ISBLANK('Q 6'!$H$268),"",IF('Q 6'!$H$268="&lt;please select&gt;","",'Q 6'!$H$268))</f>
        <v>73</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46487</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14778</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No emission report submitted by the 31st of March</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1</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EUCTR. EU ETSSF AER generator</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Other please specify</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The aircraft operator went bankrupt. Estate administrator was notified on obligations, but did not submit a report on behalf of the bankrupcy estate.</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1</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Yes</v>
      </c>
    </row>
    <row r="6930" spans="1:11" x14ac:dyDescent="0.3">
      <c r="A6930" t="s">
        <v>2021</v>
      </c>
      <c r="B6930" t="s">
        <v>2023</v>
      </c>
      <c r="C6930">
        <v>1</v>
      </c>
      <c r="D6930" t="s">
        <v>1447</v>
      </c>
      <c r="E6930" t="s">
        <v>1989</v>
      </c>
      <c r="F6930" t="s">
        <v>1737</v>
      </c>
      <c r="K6930" t="str">
        <f>IF(ISBLANK('Q 6'!C332),"",IF('Q 6'!C332="&lt;please select&gt;","",'Q 6'!C332))</f>
        <v>Non-conformities not leading to a negative verification opinion statement</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1</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1</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0</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0.3</v>
      </c>
    </row>
    <row r="6963" spans="1:11" x14ac:dyDescent="0.3">
      <c r="A6963" t="s">
        <v>2026</v>
      </c>
      <c r="B6963" t="s">
        <v>2028</v>
      </c>
      <c r="C6963">
        <v>3</v>
      </c>
      <c r="D6963" t="s">
        <v>1447</v>
      </c>
      <c r="E6963" t="s">
        <v>1995</v>
      </c>
      <c r="F6963" t="s">
        <v>1791</v>
      </c>
      <c r="J6963" t="str">
        <f>IF(ISBLANK('Q 6'!$H$354),"",IF('Q 6'!$H$354="&lt;please select&gt;","",'Q 6'!$H$354))</f>
        <v>EUCTR ETSSF for EU ETS reporting and CH data &amp; EMIS CSF/CRT for CORSIA</v>
      </c>
    </row>
    <row r="6964" spans="1:11" x14ac:dyDescent="0.3">
      <c r="A6964" t="s">
        <v>2026</v>
      </c>
      <c r="B6964" t="s">
        <v>2028</v>
      </c>
      <c r="C6964">
        <v>4</v>
      </c>
      <c r="D6964" t="s">
        <v>1447</v>
      </c>
      <c r="E6964" t="s">
        <v>1995</v>
      </c>
      <c r="F6964" t="s">
        <v>1791</v>
      </c>
      <c r="J6964" t="str">
        <f>IF(ISBLANK('Q 6'!$I$355),"",IF('Q 6'!$I$355="&lt;please select&gt;","",'Q 6'!$I$355))</f>
        <v>Focused on number of flight per aerodromepair and flight referred to as exempted</v>
      </c>
    </row>
    <row r="6965" spans="1:11" x14ac:dyDescent="0.3">
      <c r="A6965" t="s">
        <v>2026</v>
      </c>
      <c r="B6965" t="s">
        <v>2028</v>
      </c>
      <c r="C6965">
        <v>4</v>
      </c>
      <c r="D6965" t="s">
        <v>1447</v>
      </c>
      <c r="E6965" t="s">
        <v>1996</v>
      </c>
      <c r="F6965" t="s">
        <v>1737</v>
      </c>
      <c r="K6965" t="str">
        <f>IF(ISBLANK('Q 6'!$H$355),"",IF('Q 6'!$H$355="&lt;please select&gt;","",'Q 6'!$H$355))</f>
        <v>Random selection</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None</v>
      </c>
    </row>
    <row r="6969" spans="1:11" x14ac:dyDescent="0.3">
      <c r="A6969" t="s">
        <v>2026</v>
      </c>
      <c r="B6969" t="s">
        <v>2030</v>
      </c>
      <c r="C6969">
        <v>1</v>
      </c>
      <c r="D6969" t="s">
        <v>1447</v>
      </c>
      <c r="E6969" t="s">
        <v>2000</v>
      </c>
      <c r="F6969" t="s">
        <v>1741</v>
      </c>
      <c r="G6969" t="str">
        <f>IF(ISBLANK('Q 6'!$G$358),"",IF('Q 6'!$G$358="&lt;please select&gt;","",'Q 6'!$G$358))</f>
        <v>None</v>
      </c>
    </row>
    <row r="6970" spans="1:11" x14ac:dyDescent="0.3">
      <c r="A6970" t="s">
        <v>2026</v>
      </c>
      <c r="B6970" t="s">
        <v>2030</v>
      </c>
      <c r="C6970">
        <v>2</v>
      </c>
      <c r="D6970" t="s">
        <v>1419</v>
      </c>
      <c r="E6970" t="s">
        <v>2000</v>
      </c>
      <c r="F6970" t="s">
        <v>1791</v>
      </c>
      <c r="J6970" t="str">
        <f>IF(ISBLANK('Q 6'!$G$359),"",IF('Q 6'!$G$359="&lt;please select&gt;","",'Q 6'!$G$359))</f>
        <v>Contacted 1 operator in relation to PSO flights. CA noted correctly applies conditions acc. To approved AEMP</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Yes</v>
      </c>
    </row>
    <row r="6983" spans="1:11" x14ac:dyDescent="0.3">
      <c r="A6983" t="s">
        <v>2034</v>
      </c>
      <c r="B6983" t="s">
        <v>2036</v>
      </c>
      <c r="C6983">
        <v>0</v>
      </c>
      <c r="D6983" t="s">
        <v>1447</v>
      </c>
      <c r="E6983" t="s">
        <v>2036</v>
      </c>
      <c r="F6983" t="s">
        <v>1748</v>
      </c>
      <c r="H6983" t="str">
        <f>IF(ISBLANK('Q 6'!$H$375),"",IF('Q 6'!$H$375="&lt;please select&gt;","",'Q 6'!$H$375))</f>
        <v>1</v>
      </c>
    </row>
    <row r="6984" spans="1:11" x14ac:dyDescent="0.3">
      <c r="A6984" t="s">
        <v>2037</v>
      </c>
      <c r="B6984" t="s">
        <v>2038</v>
      </c>
      <c r="C6984">
        <v>0</v>
      </c>
      <c r="D6984" t="s">
        <v>1447</v>
      </c>
      <c r="E6984" t="s">
        <v>2038</v>
      </c>
      <c r="F6984" t="s">
        <v>1759</v>
      </c>
      <c r="K6984" t="str">
        <f>IF(ISBLANK('Q 6'!$I$377),"",IF('Q 6'!$I$377="&lt;please select&gt;","",'Q 6'!$I$377))</f>
        <v>No</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16</v>
      </c>
    </row>
    <row r="7186" spans="1:11" x14ac:dyDescent="0.3">
      <c r="A7186" t="s">
        <v>2062</v>
      </c>
      <c r="B7186" t="s">
        <v>2063</v>
      </c>
      <c r="C7186">
        <v>2</v>
      </c>
      <c r="D7186" t="s">
        <v>1447</v>
      </c>
      <c r="E7186" t="s">
        <v>1798</v>
      </c>
      <c r="F7186" t="s">
        <v>1748</v>
      </c>
      <c r="H7186" s="165" t="str">
        <f>IF(ISBLANK('Q 8'!$G34),"",IF('Q 8'!$G34="&lt;please select&gt;","",'Q 8'!$G34))</f>
        <v>0</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4</v>
      </c>
    </row>
    <row r="7190" spans="1:11" x14ac:dyDescent="0.3">
      <c r="A7190" t="s">
        <v>2064</v>
      </c>
      <c r="B7190" t="s">
        <v>2066</v>
      </c>
      <c r="C7190">
        <v>1</v>
      </c>
      <c r="D7190" t="s">
        <v>1447</v>
      </c>
      <c r="E7190" t="s">
        <v>2068</v>
      </c>
      <c r="F7190" t="s">
        <v>1748</v>
      </c>
      <c r="H7190" s="165" t="str">
        <f>IF(ISBLANK('Q 8'!$G$40),"",IF('Q 8'!$G$40="&lt;please select&gt;","",'Q 8'!$G$40))</f>
        <v>5</v>
      </c>
    </row>
    <row r="7191" spans="1:11" x14ac:dyDescent="0.3">
      <c r="A7191" t="s">
        <v>2064</v>
      </c>
      <c r="B7191" t="s">
        <v>2069</v>
      </c>
      <c r="C7191">
        <v>0</v>
      </c>
      <c r="D7191" t="s">
        <v>1447</v>
      </c>
      <c r="E7191" t="s">
        <v>2069</v>
      </c>
      <c r="F7191" t="s">
        <v>1759</v>
      </c>
      <c r="K7191" t="str">
        <f>IF(ISBLANK('Q 8'!$I$42),"",IF('Q 8'!$I$42="&lt;please select&gt;","",'Q 8'!$I$42))</f>
        <v>Yes</v>
      </c>
    </row>
    <row r="7192" spans="1:11" x14ac:dyDescent="0.3">
      <c r="A7192" t="s">
        <v>2064</v>
      </c>
      <c r="B7192" t="s">
        <v>2070</v>
      </c>
      <c r="C7192">
        <v>1</v>
      </c>
      <c r="D7192" t="s">
        <v>1447</v>
      </c>
      <c r="E7192" t="s">
        <v>2067</v>
      </c>
      <c r="F7192" t="s">
        <v>1748</v>
      </c>
      <c r="H7192" s="165" t="str">
        <f>IF(ISBLANK('Q 8'!$C$45),"",IF('Q 8'!$C$45="&lt;please select&gt;","",'Q 8'!$C$45))</f>
        <v>1</v>
      </c>
    </row>
    <row r="7193" spans="1:11" x14ac:dyDescent="0.3">
      <c r="A7193" t="s">
        <v>2064</v>
      </c>
      <c r="B7193" t="s">
        <v>2070</v>
      </c>
      <c r="C7193">
        <v>1</v>
      </c>
      <c r="D7193" t="s">
        <v>1447</v>
      </c>
      <c r="E7193" t="s">
        <v>2068</v>
      </c>
      <c r="F7193" t="s">
        <v>1748</v>
      </c>
      <c r="H7193" s="165" t="str">
        <f>IF(ISBLANK('Q 8'!$G$45),"",IF('Q 8'!$G$45="&lt;please select&gt;","",'Q 8'!$G$45))</f>
        <v>1</v>
      </c>
    </row>
    <row r="7194" spans="1:11" x14ac:dyDescent="0.3">
      <c r="A7194" t="s">
        <v>2064</v>
      </c>
      <c r="B7194" t="s">
        <v>2071</v>
      </c>
      <c r="C7194">
        <v>0</v>
      </c>
      <c r="D7194" t="s">
        <v>1447</v>
      </c>
      <c r="E7194" t="s">
        <v>2071</v>
      </c>
      <c r="F7194" t="s">
        <v>1759</v>
      </c>
      <c r="K7194" t="str">
        <f>IF(ISBLANK('Q 8'!$I$47),"",IF('Q 8'!$I$47="&lt;please select&gt;","",'Q 8'!$I$47))</f>
        <v>Yes</v>
      </c>
    </row>
    <row r="7195" spans="1:11" x14ac:dyDescent="0.3">
      <c r="A7195" t="s">
        <v>2064</v>
      </c>
      <c r="B7195" t="s">
        <v>2072</v>
      </c>
      <c r="C7195">
        <v>1</v>
      </c>
      <c r="D7195" t="s">
        <v>1447</v>
      </c>
      <c r="E7195" t="s">
        <v>2067</v>
      </c>
      <c r="F7195" t="s">
        <v>1748</v>
      </c>
      <c r="H7195" s="165" t="str">
        <f>IF(ISBLANK('Q 8'!$C$50),"",IF('Q 8'!$C$50="&lt;please select&gt;","",'Q 8'!$C$50))</f>
        <v>1</v>
      </c>
    </row>
    <row r="7196" spans="1:11" x14ac:dyDescent="0.3">
      <c r="A7196" t="s">
        <v>2064</v>
      </c>
      <c r="B7196" t="s">
        <v>2072</v>
      </c>
      <c r="C7196">
        <v>1</v>
      </c>
      <c r="D7196" t="s">
        <v>1447</v>
      </c>
      <c r="E7196" t="s">
        <v>2068</v>
      </c>
      <c r="F7196" t="s">
        <v>1748</v>
      </c>
      <c r="H7196" s="165" t="str">
        <f>IF(ISBLANK('Q 8'!$G$50),"",IF('Q 8'!$G$50="&lt;please select&gt;","",'Q 8'!$G$50))</f>
        <v>0</v>
      </c>
    </row>
    <row r="7197" spans="1:11" x14ac:dyDescent="0.3">
      <c r="A7197" t="s">
        <v>2073</v>
      </c>
      <c r="B7197" t="s">
        <v>2074</v>
      </c>
      <c r="C7197">
        <v>1</v>
      </c>
      <c r="D7197" t="s">
        <v>1447</v>
      </c>
      <c r="E7197" t="s">
        <v>1798</v>
      </c>
      <c r="F7197" t="s">
        <v>1748</v>
      </c>
      <c r="H7197" s="165" t="str">
        <f>IF(ISBLANK('Q 8'!$G54),"",IF('Q 8'!$G54="&lt;please select&gt;","",'Q 8'!$G54))</f>
        <v>1</v>
      </c>
    </row>
    <row r="7198" spans="1:11" x14ac:dyDescent="0.3">
      <c r="A7198" t="s">
        <v>2073</v>
      </c>
      <c r="B7198" t="s">
        <v>2074</v>
      </c>
      <c r="C7198">
        <v>2</v>
      </c>
      <c r="D7198" t="s">
        <v>1447</v>
      </c>
      <c r="E7198" t="s">
        <v>1798</v>
      </c>
      <c r="F7198" t="s">
        <v>1748</v>
      </c>
      <c r="H7198" s="165" t="str">
        <f>IF(ISBLANK('Q 8'!$G55),"",IF('Q 8'!$G55="&lt;please select&gt;","",'Q 8'!$G55))</f>
        <v>9</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0</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Yes</v>
      </c>
    </row>
    <row r="7468" spans="1:11" x14ac:dyDescent="0.3">
      <c r="A7468" t="s">
        <v>2086</v>
      </c>
      <c r="B7468" t="s">
        <v>2088</v>
      </c>
      <c r="C7468">
        <v>0</v>
      </c>
      <c r="D7468" t="s">
        <v>1447</v>
      </c>
      <c r="E7468" t="s">
        <v>2088</v>
      </c>
      <c r="F7468" t="s">
        <v>1741</v>
      </c>
      <c r="G7468" t="str">
        <f>IF(ISBLANK('Q 8'!$G$140),"",IF('Q 8'!$G$140="&lt;please select&gt;","",'Q 8'!$G$140))</f>
        <v>Emission data, CHP tool data and EE data as included in the ALCR-template</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1</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20 - Combustion of fuels as specified in Annex I of Directive 2003/87/EC</v>
      </c>
    </row>
    <row r="7481" spans="1:11" x14ac:dyDescent="0.3">
      <c r="A7481" t="s">
        <v>2096</v>
      </c>
      <c r="B7481" t="s">
        <v>2097</v>
      </c>
      <c r="C7481">
        <v>2</v>
      </c>
      <c r="D7481" t="s">
        <v>1447</v>
      </c>
      <c r="E7481" t="s">
        <v>1988</v>
      </c>
      <c r="F7481" t="s">
        <v>1737</v>
      </c>
      <c r="K7481" t="str">
        <f>IF(ISBLANK('Q 8'!$C158),"",IF('Q 8'!$C158="&lt;please select&gt;","",'Q 8'!$C158))</f>
        <v>20 - Combustion of fuels as specified in Annex I of Directive 2003/87/EC</v>
      </c>
    </row>
    <row r="7482" spans="1:11" x14ac:dyDescent="0.3">
      <c r="A7482" t="s">
        <v>2096</v>
      </c>
      <c r="B7482" t="s">
        <v>2097</v>
      </c>
      <c r="C7482">
        <v>3</v>
      </c>
      <c r="D7482" t="s">
        <v>1447</v>
      </c>
      <c r="E7482" t="s">
        <v>1988</v>
      </c>
      <c r="F7482" t="s">
        <v>1737</v>
      </c>
      <c r="K7482" t="str">
        <f>IF(ISBLANK('Q 8'!$C159),"",IF('Q 8'!$C159="&lt;please select&gt;","",'Q 8'!$C159))</f>
        <v>20 - Combustion of fuels as specified in Annex I of Directive 2003/87/EC</v>
      </c>
    </row>
    <row r="7483" spans="1:11" x14ac:dyDescent="0.3">
      <c r="A7483" t="s">
        <v>2096</v>
      </c>
      <c r="B7483" t="s">
        <v>2097</v>
      </c>
      <c r="C7483">
        <v>4</v>
      </c>
      <c r="D7483" t="s">
        <v>1447</v>
      </c>
      <c r="E7483" t="s">
        <v>1988</v>
      </c>
      <c r="F7483" t="s">
        <v>1737</v>
      </c>
      <c r="K7483" t="str">
        <f>IF(ISBLANK('Q 8'!$C160),"",IF('Q 8'!$C160="&lt;please select&gt;","",'Q 8'!$C160))</f>
        <v>20 - Combustion of fuels as specified in Annex I of Directive 2003/87/EC</v>
      </c>
    </row>
    <row r="7484" spans="1:11" x14ac:dyDescent="0.3">
      <c r="A7484" t="s">
        <v>2096</v>
      </c>
      <c r="B7484" t="s">
        <v>2097</v>
      </c>
      <c r="C7484">
        <v>5</v>
      </c>
      <c r="D7484" t="s">
        <v>1447</v>
      </c>
      <c r="E7484" t="s">
        <v>1988</v>
      </c>
      <c r="F7484" t="s">
        <v>1737</v>
      </c>
      <c r="K7484" t="str">
        <f>IF(ISBLANK('Q 8'!$C161),"",IF('Q 8'!$C161="&lt;please select&gt;","",'Q 8'!$C161))</f>
        <v>34 - Drying or calcination of gypsum or production of plaster boards and other gypsum products, as specified in Annex I of Directive 2003/87/EC</v>
      </c>
    </row>
    <row r="7485" spans="1:11" x14ac:dyDescent="0.3">
      <c r="A7485" t="s">
        <v>2096</v>
      </c>
      <c r="B7485" t="s">
        <v>2097</v>
      </c>
      <c r="C7485">
        <v>6</v>
      </c>
      <c r="D7485" t="s">
        <v>1447</v>
      </c>
      <c r="E7485" t="s">
        <v>1988</v>
      </c>
      <c r="F7485" t="s">
        <v>1737</v>
      </c>
      <c r="K7485" t="str">
        <f>IF(ISBLANK('Q 8'!$C162),"",IF('Q 8'!$C162="&lt;please select&gt;","",'Q 8'!$C162))</f>
        <v>32 - Manufacture of ceramic products as specified in Annex I of Directive 2003/87/EC</v>
      </c>
    </row>
    <row r="7486" spans="1:11" x14ac:dyDescent="0.3">
      <c r="A7486" t="s">
        <v>2096</v>
      </c>
      <c r="B7486" t="s">
        <v>2097</v>
      </c>
      <c r="C7486">
        <v>7</v>
      </c>
      <c r="D7486" t="s">
        <v>1447</v>
      </c>
      <c r="E7486" t="s">
        <v>1988</v>
      </c>
      <c r="F7486" t="s">
        <v>1737</v>
      </c>
      <c r="K7486" t="str">
        <f>IF(ISBLANK('Q 8'!$C163),"",IF('Q 8'!$C163="&lt;please select&gt;","",'Q 8'!$C163))</f>
        <v>32 - Manufacture of ceramic products as specified in Annex I of Directive 2003/87/EC</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Non-material misstatements</v>
      </c>
    </row>
    <row r="7561" spans="1:11" x14ac:dyDescent="0.3">
      <c r="A7561" t="s">
        <v>2096</v>
      </c>
      <c r="B7561" t="s">
        <v>2097</v>
      </c>
      <c r="C7561">
        <v>2</v>
      </c>
      <c r="D7561" t="s">
        <v>1447</v>
      </c>
      <c r="E7561" t="s">
        <v>1989</v>
      </c>
      <c r="F7561" t="s">
        <v>1737</v>
      </c>
      <c r="K7561" t="str">
        <f>IF(ISBLANK('Q 8'!$E158),"",IF('Q 8'!$E158="&lt;please select&gt;","",'Q 8'!$E158))</f>
        <v>Non-compliance with Delegated Regulation 2019/331 and Implementing Regulation 2019/1842</v>
      </c>
    </row>
    <row r="7562" spans="1:11" x14ac:dyDescent="0.3">
      <c r="A7562" t="s">
        <v>2096</v>
      </c>
      <c r="B7562" t="s">
        <v>2097</v>
      </c>
      <c r="C7562">
        <v>3</v>
      </c>
      <c r="D7562" t="s">
        <v>1447</v>
      </c>
      <c r="E7562" t="s">
        <v>1989</v>
      </c>
      <c r="F7562" t="s">
        <v>1737</v>
      </c>
      <c r="K7562" t="str">
        <f>IF(ISBLANK('Q 8'!$E159),"",IF('Q 8'!$E159="&lt;please select&gt;","",'Q 8'!$E159))</f>
        <v>Non-conformities not leading to a negative verification opinion statement</v>
      </c>
    </row>
    <row r="7563" spans="1:11" x14ac:dyDescent="0.3">
      <c r="A7563" t="s">
        <v>2096</v>
      </c>
      <c r="B7563" t="s">
        <v>2097</v>
      </c>
      <c r="C7563">
        <v>4</v>
      </c>
      <c r="D7563" t="s">
        <v>1447</v>
      </c>
      <c r="E7563" t="s">
        <v>1989</v>
      </c>
      <c r="F7563" t="s">
        <v>1737</v>
      </c>
      <c r="K7563" t="str">
        <f>IF(ISBLANK('Q 8'!$E160),"",IF('Q 8'!$E160="&lt;please select&gt;","",'Q 8'!$E160))</f>
        <v>Recommendations for improvement</v>
      </c>
    </row>
    <row r="7564" spans="1:11" x14ac:dyDescent="0.3">
      <c r="A7564" t="s">
        <v>2096</v>
      </c>
      <c r="B7564" t="s">
        <v>2097</v>
      </c>
      <c r="C7564">
        <v>5</v>
      </c>
      <c r="D7564" t="s">
        <v>1447</v>
      </c>
      <c r="E7564" t="s">
        <v>1989</v>
      </c>
      <c r="F7564" t="s">
        <v>1737</v>
      </c>
      <c r="K7564" t="str">
        <f>IF(ISBLANK('Q 8'!$E161),"",IF('Q 8'!$E161="&lt;please select&gt;","",'Q 8'!$E161))</f>
        <v>Recommendations for improvement</v>
      </c>
    </row>
    <row r="7565" spans="1:11" x14ac:dyDescent="0.3">
      <c r="A7565" t="s">
        <v>2096</v>
      </c>
      <c r="B7565" t="s">
        <v>2097</v>
      </c>
      <c r="C7565">
        <v>6</v>
      </c>
      <c r="D7565" t="s">
        <v>1447</v>
      </c>
      <c r="E7565" t="s">
        <v>1989</v>
      </c>
      <c r="F7565" t="s">
        <v>1737</v>
      </c>
      <c r="K7565" t="str">
        <f>IF(ISBLANK('Q 8'!$E162),"",IF('Q 8'!$E162="&lt;please select&gt;","",'Q 8'!$E162))</f>
        <v>Non-compliance with Delegated Regulation 2019/331 and Implementing Regulation 2019/1842</v>
      </c>
    </row>
    <row r="7566" spans="1:11" x14ac:dyDescent="0.3">
      <c r="A7566" t="s">
        <v>2096</v>
      </c>
      <c r="B7566" t="s">
        <v>2097</v>
      </c>
      <c r="C7566">
        <v>7</v>
      </c>
      <c r="D7566" t="s">
        <v>1447</v>
      </c>
      <c r="E7566" t="s">
        <v>1989</v>
      </c>
      <c r="F7566" t="s">
        <v>1737</v>
      </c>
      <c r="K7566" t="str">
        <f>IF(ISBLANK('Q 8'!$E163),"",IF('Q 8'!$E163="&lt;please select&gt;","",'Q 8'!$E163))</f>
        <v>Non-conformities not leading to a negative verification opinion statement</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3</v>
      </c>
    </row>
    <row r="7641" spans="1:11" x14ac:dyDescent="0.3">
      <c r="A7641" t="s">
        <v>2096</v>
      </c>
      <c r="B7641" t="s">
        <v>2097</v>
      </c>
      <c r="C7641">
        <v>2</v>
      </c>
      <c r="D7641" t="s">
        <v>1447</v>
      </c>
      <c r="E7641" t="s">
        <v>1798</v>
      </c>
      <c r="F7641" t="s">
        <v>1748</v>
      </c>
      <c r="H7641" s="165" t="str">
        <f>IF(ISBLANK('Q 8'!$F158),"",IF('Q 8'!$F158="&lt;please select&gt;","",'Q 8'!$F158))</f>
        <v>30</v>
      </c>
    </row>
    <row r="7642" spans="1:11" x14ac:dyDescent="0.3">
      <c r="A7642" t="s">
        <v>2096</v>
      </c>
      <c r="B7642" t="s">
        <v>2097</v>
      </c>
      <c r="C7642">
        <v>3</v>
      </c>
      <c r="D7642" t="s">
        <v>1447</v>
      </c>
      <c r="E7642" t="s">
        <v>1798</v>
      </c>
      <c r="F7642" t="s">
        <v>1748</v>
      </c>
      <c r="H7642" s="165" t="str">
        <f>IF(ISBLANK('Q 8'!$F159),"",IF('Q 8'!$F159="&lt;please select&gt;","",'Q 8'!$F159))</f>
        <v>7</v>
      </c>
    </row>
    <row r="7643" spans="1:11" x14ac:dyDescent="0.3">
      <c r="A7643" t="s">
        <v>2096</v>
      </c>
      <c r="B7643" t="s">
        <v>2097</v>
      </c>
      <c r="C7643">
        <v>4</v>
      </c>
      <c r="D7643" t="s">
        <v>1447</v>
      </c>
      <c r="E7643" t="s">
        <v>1798</v>
      </c>
      <c r="F7643" t="s">
        <v>1748</v>
      </c>
      <c r="H7643" s="165" t="str">
        <f>IF(ISBLANK('Q 8'!$F160),"",IF('Q 8'!$F160="&lt;please select&gt;","",'Q 8'!$F160))</f>
        <v>33</v>
      </c>
    </row>
    <row r="7644" spans="1:11" x14ac:dyDescent="0.3">
      <c r="A7644" t="s">
        <v>2096</v>
      </c>
      <c r="B7644" t="s">
        <v>2097</v>
      </c>
      <c r="C7644">
        <v>5</v>
      </c>
      <c r="D7644" t="s">
        <v>1447</v>
      </c>
      <c r="E7644" t="s">
        <v>1798</v>
      </c>
      <c r="F7644" t="s">
        <v>1748</v>
      </c>
      <c r="H7644" s="165" t="str">
        <f>IF(ISBLANK('Q 8'!$F161),"",IF('Q 8'!$F161="&lt;please select&gt;","",'Q 8'!$F161))</f>
        <v>1</v>
      </c>
    </row>
    <row r="7645" spans="1:11" x14ac:dyDescent="0.3">
      <c r="A7645" t="s">
        <v>2096</v>
      </c>
      <c r="B7645" t="s">
        <v>2097</v>
      </c>
      <c r="C7645">
        <v>6</v>
      </c>
      <c r="D7645" t="s">
        <v>1447</v>
      </c>
      <c r="E7645" t="s">
        <v>1798</v>
      </c>
      <c r="F7645" t="s">
        <v>1748</v>
      </c>
      <c r="H7645" s="165" t="str">
        <f>IF(ISBLANK('Q 8'!$F162),"",IF('Q 8'!$F162="&lt;please select&gt;","",'Q 8'!$F162))</f>
        <v>2</v>
      </c>
    </row>
    <row r="7646" spans="1:11" x14ac:dyDescent="0.3">
      <c r="A7646" t="s">
        <v>2096</v>
      </c>
      <c r="B7646" t="s">
        <v>2097</v>
      </c>
      <c r="C7646">
        <v>7</v>
      </c>
      <c r="D7646" t="s">
        <v>1447</v>
      </c>
      <c r="E7646" t="s">
        <v>1798</v>
      </c>
      <c r="F7646" t="s">
        <v>1748</v>
      </c>
      <c r="H7646" s="165" t="str">
        <f>IF(ISBLANK('Q 8'!$F163),"",IF('Q 8'!$F163="&lt;please select&gt;","",'Q 8'!$F163))</f>
        <v>2</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3</v>
      </c>
    </row>
    <row r="7721" spans="1:8" x14ac:dyDescent="0.3">
      <c r="A7721" t="s">
        <v>2096</v>
      </c>
      <c r="B7721" t="s">
        <v>2097</v>
      </c>
      <c r="C7721">
        <v>2</v>
      </c>
      <c r="D7721" t="s">
        <v>1447</v>
      </c>
      <c r="E7721" t="s">
        <v>1972</v>
      </c>
      <c r="F7721" t="s">
        <v>1748</v>
      </c>
      <c r="H7721" s="165" t="str">
        <f>IF(ISBLANK('Q 8'!$G158),"",IF('Q 8'!$G158="&lt;please select&gt;","",'Q 8'!$G158))</f>
        <v>39</v>
      </c>
    </row>
    <row r="7722" spans="1:8" x14ac:dyDescent="0.3">
      <c r="A7722" t="s">
        <v>2096</v>
      </c>
      <c r="B7722" t="s">
        <v>2097</v>
      </c>
      <c r="C7722">
        <v>3</v>
      </c>
      <c r="D7722" t="s">
        <v>1447</v>
      </c>
      <c r="E7722" t="s">
        <v>1972</v>
      </c>
      <c r="F7722" t="s">
        <v>1748</v>
      </c>
      <c r="H7722" s="165" t="str">
        <f>IF(ISBLANK('Q 8'!$G159),"",IF('Q 8'!$G159="&lt;please select&gt;","",'Q 8'!$G159))</f>
        <v>8</v>
      </c>
    </row>
    <row r="7723" spans="1:8" x14ac:dyDescent="0.3">
      <c r="A7723" t="s">
        <v>2096</v>
      </c>
      <c r="B7723" t="s">
        <v>2097</v>
      </c>
      <c r="C7723">
        <v>4</v>
      </c>
      <c r="D7723" t="s">
        <v>1447</v>
      </c>
      <c r="E7723" t="s">
        <v>1972</v>
      </c>
      <c r="F7723" t="s">
        <v>1748</v>
      </c>
      <c r="H7723" s="165" t="str">
        <f>IF(ISBLANK('Q 8'!$G160),"",IF('Q 8'!$G160="&lt;please select&gt;","",'Q 8'!$G160))</f>
        <v>44</v>
      </c>
    </row>
    <row r="7724" spans="1:8" x14ac:dyDescent="0.3">
      <c r="A7724" t="s">
        <v>2096</v>
      </c>
      <c r="B7724" t="s">
        <v>2097</v>
      </c>
      <c r="C7724">
        <v>5</v>
      </c>
      <c r="D7724" t="s">
        <v>1447</v>
      </c>
      <c r="E7724" t="s">
        <v>1972</v>
      </c>
      <c r="F7724" t="s">
        <v>1748</v>
      </c>
      <c r="H7724" s="165" t="str">
        <f>IF(ISBLANK('Q 8'!$G161),"",IF('Q 8'!$G161="&lt;please select&gt;","",'Q 8'!$G161))</f>
        <v>1</v>
      </c>
    </row>
    <row r="7725" spans="1:8" x14ac:dyDescent="0.3">
      <c r="A7725" t="s">
        <v>2096</v>
      </c>
      <c r="B7725" t="s">
        <v>2097</v>
      </c>
      <c r="C7725">
        <v>6</v>
      </c>
      <c r="D7725" t="s">
        <v>1447</v>
      </c>
      <c r="E7725" t="s">
        <v>1972</v>
      </c>
      <c r="F7725" t="s">
        <v>1748</v>
      </c>
      <c r="H7725" s="165" t="str">
        <f>IF(ISBLANK('Q 8'!$G162),"",IF('Q 8'!$G162="&lt;please select&gt;","",'Q 8'!$G162))</f>
        <v>3</v>
      </c>
    </row>
    <row r="7726" spans="1:8" x14ac:dyDescent="0.3">
      <c r="A7726" t="s">
        <v>2096</v>
      </c>
      <c r="B7726" t="s">
        <v>2097</v>
      </c>
      <c r="C7726">
        <v>7</v>
      </c>
      <c r="D7726" t="s">
        <v>1447</v>
      </c>
      <c r="E7726" t="s">
        <v>1972</v>
      </c>
      <c r="F7726" t="s">
        <v>1748</v>
      </c>
      <c r="H7726" s="165" t="str">
        <f>IF(ISBLANK('Q 8'!$G163),"",IF('Q 8'!$G163="&lt;please select&gt;","",'Q 8'!$G163))</f>
        <v>2</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0</v>
      </c>
    </row>
    <row r="7805" spans="1:8" x14ac:dyDescent="0.3">
      <c r="A7805" t="s">
        <v>2096</v>
      </c>
      <c r="B7805" t="s">
        <v>2097</v>
      </c>
      <c r="C7805">
        <v>6</v>
      </c>
      <c r="D7805" t="s">
        <v>1447</v>
      </c>
      <c r="E7805" t="s">
        <v>2094</v>
      </c>
      <c r="F7805" t="s">
        <v>1748</v>
      </c>
      <c r="H7805" s="165" t="str">
        <f>IF(ISBLANK('Q 8'!$H162),"",IF('Q 8'!$H162="&lt;please select&gt;","",'Q 8'!$H162))</f>
        <v>0</v>
      </c>
    </row>
    <row r="7806" spans="1:8" x14ac:dyDescent="0.3">
      <c r="A7806" t="s">
        <v>2096</v>
      </c>
      <c r="B7806" t="s">
        <v>2097</v>
      </c>
      <c r="C7806">
        <v>7</v>
      </c>
      <c r="D7806" t="s">
        <v>1447</v>
      </c>
      <c r="E7806" t="s">
        <v>2094</v>
      </c>
      <c r="F7806" t="s">
        <v>1748</v>
      </c>
      <c r="H7806" s="165" t="str">
        <f>IF(ISBLANK('Q 8'!$H163),"",IF('Q 8'!$H163="&lt;please select&gt;","",'Q 8'!$H163))</f>
        <v>0</v>
      </c>
    </row>
    <row r="7807" spans="1:8" x14ac:dyDescent="0.3">
      <c r="A7807" t="s">
        <v>2096</v>
      </c>
      <c r="B7807" t="s">
        <v>2097</v>
      </c>
      <c r="C7807">
        <v>8</v>
      </c>
      <c r="D7807" t="s">
        <v>1447</v>
      </c>
      <c r="E7807" t="s">
        <v>2094</v>
      </c>
      <c r="F7807" t="s">
        <v>1748</v>
      </c>
      <c r="H7807" s="165" t="str">
        <f>IF(ISBLANK('Q 8'!$H164),"",IF('Q 8'!$H164="&lt;please select&gt;","",'Q 8'!$H164))</f>
        <v>0</v>
      </c>
    </row>
    <row r="7808" spans="1:8" x14ac:dyDescent="0.3">
      <c r="A7808" t="s">
        <v>2096</v>
      </c>
      <c r="B7808" t="s">
        <v>2097</v>
      </c>
      <c r="C7808">
        <v>9</v>
      </c>
      <c r="D7808" t="s">
        <v>1447</v>
      </c>
      <c r="E7808" t="s">
        <v>2094</v>
      </c>
      <c r="F7808" t="s">
        <v>1748</v>
      </c>
      <c r="H7808" s="165" t="str">
        <f>IF(ISBLANK('Q 8'!$H165),"",IF('Q 8'!$H165="&lt;please select&gt;","",'Q 8'!$H165))</f>
        <v>0</v>
      </c>
    </row>
    <row r="7809" spans="1:8" x14ac:dyDescent="0.3">
      <c r="A7809" t="s">
        <v>2096</v>
      </c>
      <c r="B7809" t="s">
        <v>2097</v>
      </c>
      <c r="C7809">
        <v>10</v>
      </c>
      <c r="D7809" t="s">
        <v>1447</v>
      </c>
      <c r="E7809" t="s">
        <v>2094</v>
      </c>
      <c r="F7809" t="s">
        <v>1748</v>
      </c>
      <c r="H7809" s="165" t="str">
        <f>IF(ISBLANK('Q 8'!$H166),"",IF('Q 8'!$H166="&lt;please select&gt;","",'Q 8'!$H166))</f>
        <v>0</v>
      </c>
    </row>
    <row r="7810" spans="1:8" x14ac:dyDescent="0.3">
      <c r="A7810" t="s">
        <v>2096</v>
      </c>
      <c r="B7810" t="s">
        <v>2097</v>
      </c>
      <c r="C7810">
        <v>11</v>
      </c>
      <c r="D7810" t="s">
        <v>1447</v>
      </c>
      <c r="E7810" t="s">
        <v>2094</v>
      </c>
      <c r="F7810" t="s">
        <v>1748</v>
      </c>
      <c r="H7810" s="165" t="str">
        <f>IF(ISBLANK('Q 8'!$H167),"",IF('Q 8'!$H167="&lt;please select&gt;","",'Q 8'!$H167))</f>
        <v>0</v>
      </c>
    </row>
    <row r="7811" spans="1:8" x14ac:dyDescent="0.3">
      <c r="A7811" t="s">
        <v>2096</v>
      </c>
      <c r="B7811" t="s">
        <v>2097</v>
      </c>
      <c r="C7811">
        <v>12</v>
      </c>
      <c r="D7811" t="s">
        <v>1447</v>
      </c>
      <c r="E7811" t="s">
        <v>2094</v>
      </c>
      <c r="F7811" t="s">
        <v>1748</v>
      </c>
      <c r="H7811" s="165" t="str">
        <f>IF(ISBLANK('Q 8'!$H168),"",IF('Q 8'!$H168="&lt;please select&gt;","",'Q 8'!$H168))</f>
        <v>0</v>
      </c>
    </row>
    <row r="7812" spans="1:8" x14ac:dyDescent="0.3">
      <c r="A7812" t="s">
        <v>2096</v>
      </c>
      <c r="B7812" t="s">
        <v>2097</v>
      </c>
      <c r="C7812">
        <v>13</v>
      </c>
      <c r="D7812" t="s">
        <v>1447</v>
      </c>
      <c r="E7812" t="s">
        <v>2094</v>
      </c>
      <c r="F7812" t="s">
        <v>1748</v>
      </c>
      <c r="H7812" s="165" t="str">
        <f>IF(ISBLANK('Q 8'!$H169),"",IF('Q 8'!$H169="&lt;please select&gt;","",'Q 8'!$H169))</f>
        <v>0</v>
      </c>
    </row>
    <row r="7813" spans="1:8" x14ac:dyDescent="0.3">
      <c r="A7813" t="s">
        <v>2096</v>
      </c>
      <c r="B7813" t="s">
        <v>2097</v>
      </c>
      <c r="C7813">
        <v>14</v>
      </c>
      <c r="D7813" t="s">
        <v>1447</v>
      </c>
      <c r="E7813" t="s">
        <v>2094</v>
      </c>
      <c r="F7813" t="s">
        <v>1748</v>
      </c>
      <c r="H7813" s="165" t="str">
        <f>IF(ISBLANK('Q 8'!$H170),"",IF('Q 8'!$H170="&lt;please select&gt;","",'Q 8'!$H170))</f>
        <v>0</v>
      </c>
    </row>
    <row r="7814" spans="1:8" x14ac:dyDescent="0.3">
      <c r="A7814" t="s">
        <v>2096</v>
      </c>
      <c r="B7814" t="s">
        <v>2097</v>
      </c>
      <c r="C7814">
        <v>15</v>
      </c>
      <c r="D7814" t="s">
        <v>1447</v>
      </c>
      <c r="E7814" t="s">
        <v>2094</v>
      </c>
      <c r="F7814" t="s">
        <v>1748</v>
      </c>
      <c r="H7814" s="165" t="str">
        <f>IF(ISBLANK('Q 8'!$H171),"",IF('Q 8'!$H171="&lt;please select&gt;","",'Q 8'!$H171))</f>
        <v>0</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Yes</v>
      </c>
    </row>
    <row r="7881" spans="1:11" x14ac:dyDescent="0.3">
      <c r="A7881" t="s">
        <v>2098</v>
      </c>
      <c r="B7881" t="s">
        <v>2100</v>
      </c>
      <c r="C7881">
        <v>1</v>
      </c>
      <c r="D7881" t="s">
        <v>1447</v>
      </c>
      <c r="E7881" t="s">
        <v>2101</v>
      </c>
      <c r="F7881" t="s">
        <v>1748</v>
      </c>
      <c r="H7881" s="165" t="str">
        <f>IF(ISBLANK('Q 8'!$F243),"",IF('Q 8'!$F243="&lt;please select&gt;","",'Q 8'!$F243))</f>
        <v>0</v>
      </c>
    </row>
    <row r="7882" spans="1:11" x14ac:dyDescent="0.3">
      <c r="A7882" t="s">
        <v>2098</v>
      </c>
      <c r="B7882" t="s">
        <v>2100</v>
      </c>
      <c r="C7882">
        <v>2</v>
      </c>
      <c r="D7882" t="s">
        <v>1447</v>
      </c>
      <c r="E7882" t="s">
        <v>2101</v>
      </c>
      <c r="F7882" t="s">
        <v>1748</v>
      </c>
      <c r="H7882" s="165" t="str">
        <f>IF(ISBLANK('Q 8'!$F244),"",IF('Q 8'!$F244="&lt;please select&gt;","",'Q 8'!$F244))</f>
        <v>4</v>
      </c>
    </row>
    <row r="7883" spans="1:11" x14ac:dyDescent="0.3">
      <c r="A7883" t="s">
        <v>2098</v>
      </c>
      <c r="B7883" t="s">
        <v>2100</v>
      </c>
      <c r="C7883">
        <v>2</v>
      </c>
      <c r="D7883" t="s">
        <v>1447</v>
      </c>
      <c r="E7883" t="s">
        <v>2102</v>
      </c>
      <c r="F7883" t="s">
        <v>1791</v>
      </c>
      <c r="J7883" s="165" t="str">
        <f>IF(ISBLANK('Q 8'!$H$244),"",IF('Q 8'!$H$244="&lt;please select&gt;","",'Q 8'!$H$244))</f>
        <v>Returned with a comment to re-verify</v>
      </c>
    </row>
    <row r="7884" spans="1:11" x14ac:dyDescent="0.3">
      <c r="A7884" t="s">
        <v>2098</v>
      </c>
      <c r="B7884" t="s">
        <v>2100</v>
      </c>
      <c r="C7884">
        <v>3</v>
      </c>
      <c r="D7884" t="s">
        <v>1447</v>
      </c>
      <c r="E7884" t="s">
        <v>2000</v>
      </c>
      <c r="F7884" t="s">
        <v>1741</v>
      </c>
      <c r="G7884" t="str">
        <f>IF(ISBLANK('Q 8'!$F$245),"",IF('Q 8'!$F$245="&lt;please select&gt;","",'Q 8'!$F$245))</f>
        <v xml:space="preserve">Reverification. CA requested the operator to obtain a new verification report.  </v>
      </c>
    </row>
    <row r="7885" spans="1:11" x14ac:dyDescent="0.3">
      <c r="A7885" t="s">
        <v>2098</v>
      </c>
      <c r="B7885" t="s">
        <v>2100</v>
      </c>
      <c r="C7885">
        <v>4</v>
      </c>
      <c r="D7885" t="s">
        <v>1419</v>
      </c>
      <c r="E7885" t="s">
        <v>2000</v>
      </c>
      <c r="F7885" t="s">
        <v>1791</v>
      </c>
      <c r="J7885" t="str">
        <f>IF(ISBLANK('Q 8'!$F$246),"",IF('Q 8'!$F$246="&lt;please select&gt;","",'Q 8'!$F$246))</f>
        <v>Information exchange according to AVR art. 73 - Complaints</v>
      </c>
    </row>
    <row r="7886" spans="1:11" x14ac:dyDescent="0.3">
      <c r="A7886" t="s">
        <v>2103</v>
      </c>
      <c r="B7886" t="s">
        <v>2104</v>
      </c>
      <c r="C7886">
        <v>0</v>
      </c>
      <c r="D7886" t="s">
        <v>1447</v>
      </c>
      <c r="E7886" t="s">
        <v>2104</v>
      </c>
      <c r="F7886" t="s">
        <v>1759</v>
      </c>
      <c r="K7886" t="str">
        <f>IF(ISBLANK('Q 8'!$I$248),"",IF('Q 8'!$I$248="&lt;please select&gt;","",'Q 8'!$I$248))</f>
        <v>Yes</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
      </c>
    </row>
    <row r="7942" spans="1:9" x14ac:dyDescent="0.3">
      <c r="A7942" t="s">
        <v>2109</v>
      </c>
      <c r="B7942" t="s">
        <v>2110</v>
      </c>
      <c r="C7942">
        <v>2</v>
      </c>
      <c r="D7942" t="s">
        <v>1447</v>
      </c>
      <c r="E7942" t="s">
        <v>2111</v>
      </c>
      <c r="F7942" t="s">
        <v>1806</v>
      </c>
      <c r="I7942" s="165" t="str">
        <f>IF(ISBLANK('Q 8'!E284),"",IF('Q 8'!E284="&lt;please select&gt;","",'Q 8'!E284))</f>
        <v/>
      </c>
    </row>
    <row r="7943" spans="1:9" x14ac:dyDescent="0.3">
      <c r="A7943" t="s">
        <v>2109</v>
      </c>
      <c r="B7943" t="s">
        <v>2110</v>
      </c>
      <c r="C7943">
        <v>3</v>
      </c>
      <c r="D7943" t="s">
        <v>1447</v>
      </c>
      <c r="E7943" t="s">
        <v>2111</v>
      </c>
      <c r="F7943" t="s">
        <v>1806</v>
      </c>
      <c r="I7943" s="165" t="str">
        <f>IF(ISBLANK('Q 8'!E285),"",IF('Q 8'!E285="&lt;please select&gt;","",'Q 8'!E285))</f>
        <v/>
      </c>
    </row>
    <row r="7944" spans="1:9" x14ac:dyDescent="0.3">
      <c r="A7944" t="s">
        <v>2109</v>
      </c>
      <c r="B7944" t="s">
        <v>2110</v>
      </c>
      <c r="C7944">
        <v>4</v>
      </c>
      <c r="D7944" t="s">
        <v>1447</v>
      </c>
      <c r="E7944" t="s">
        <v>2111</v>
      </c>
      <c r="F7944" t="s">
        <v>1806</v>
      </c>
      <c r="I7944" s="165" t="str">
        <f>IF(ISBLANK('Q 8'!E286),"",IF('Q 8'!E286="&lt;please select&gt;","",'Q 8'!E286))</f>
        <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
      </c>
    </row>
    <row r="7950" spans="1:9" x14ac:dyDescent="0.3">
      <c r="A7950" t="s">
        <v>2109</v>
      </c>
      <c r="B7950" t="s">
        <v>2110</v>
      </c>
      <c r="C7950">
        <v>2</v>
      </c>
      <c r="D7950" t="s">
        <v>1447</v>
      </c>
      <c r="E7950" t="s">
        <v>2112</v>
      </c>
      <c r="F7950" t="s">
        <v>1806</v>
      </c>
      <c r="I7950" s="165" t="str">
        <f>IF(ISBLANK('Q 8'!$F284),"",IF('Q 8'!$F284="&lt;please select&gt;","",'Q 8'!$F284))</f>
        <v/>
      </c>
    </row>
    <row r="7951" spans="1:9" x14ac:dyDescent="0.3">
      <c r="A7951" t="s">
        <v>2109</v>
      </c>
      <c r="B7951" t="s">
        <v>2110</v>
      </c>
      <c r="C7951">
        <v>3</v>
      </c>
      <c r="D7951" t="s">
        <v>1447</v>
      </c>
      <c r="E7951" t="s">
        <v>2112</v>
      </c>
      <c r="F7951" t="s">
        <v>1806</v>
      </c>
      <c r="I7951" s="165" t="str">
        <f>IF(ISBLANK('Q 8'!$F285),"",IF('Q 8'!$F285="&lt;please select&gt;","",'Q 8'!$F285))</f>
        <v/>
      </c>
    </row>
    <row r="7952" spans="1:9" x14ac:dyDescent="0.3">
      <c r="A7952" t="s">
        <v>2109</v>
      </c>
      <c r="B7952" t="s">
        <v>2110</v>
      </c>
      <c r="C7952">
        <v>4</v>
      </c>
      <c r="D7952" t="s">
        <v>1447</v>
      </c>
      <c r="E7952" t="s">
        <v>2112</v>
      </c>
      <c r="F7952" t="s">
        <v>1806</v>
      </c>
      <c r="I7952" s="165" t="str">
        <f>IF(ISBLANK('Q 8'!$F286),"",IF('Q 8'!$F286="&lt;please select&gt;","",'Q 8'!$F286))</f>
        <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No</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0</v>
      </c>
    </row>
    <row r="8171" spans="1:11" x14ac:dyDescent="0.3">
      <c r="A8171" t="s">
        <v>2130</v>
      </c>
      <c r="B8171" t="s">
        <v>2132</v>
      </c>
      <c r="C8171">
        <v>2</v>
      </c>
      <c r="D8171" t="s">
        <v>1447</v>
      </c>
      <c r="E8171" t="s">
        <v>2133</v>
      </c>
      <c r="F8171" t="s">
        <v>1806</v>
      </c>
      <c r="I8171" s="165" t="str">
        <f>IF(ISBLANK('Q 9'!$G10),"",IF('Q 9'!$G10="&lt;please select&gt;","",'Q 9'!$G10))</f>
        <v>0</v>
      </c>
    </row>
    <row r="8172" spans="1:11" x14ac:dyDescent="0.3">
      <c r="A8172" t="s">
        <v>2130</v>
      </c>
      <c r="B8172" t="s">
        <v>2132</v>
      </c>
      <c r="C8172">
        <v>3</v>
      </c>
      <c r="D8172" t="s">
        <v>1447</v>
      </c>
      <c r="E8172" t="s">
        <v>2133</v>
      </c>
      <c r="F8172" t="s">
        <v>1806</v>
      </c>
      <c r="I8172" s="165" t="str">
        <f>IF(ISBLANK('Q 9'!$G11),"",IF('Q 9'!$G11="&lt;please select&gt;","",'Q 9'!$G11))</f>
        <v>0</v>
      </c>
    </row>
    <row r="8173" spans="1:11" x14ac:dyDescent="0.3">
      <c r="A8173" t="s">
        <v>2130</v>
      </c>
      <c r="B8173" t="s">
        <v>2132</v>
      </c>
      <c r="C8173">
        <v>4</v>
      </c>
      <c r="D8173" t="s">
        <v>1447</v>
      </c>
      <c r="E8173" t="s">
        <v>2133</v>
      </c>
      <c r="F8173" t="s">
        <v>1806</v>
      </c>
      <c r="I8173" s="165" t="str">
        <f>IF(ISBLANK('Q 9'!$G12),"",IF('Q 9'!$G12="&lt;please select&gt;","",'Q 9'!$G12))</f>
        <v>0</v>
      </c>
    </row>
    <row r="8174" spans="1:11" x14ac:dyDescent="0.3">
      <c r="A8174" t="s">
        <v>2130</v>
      </c>
      <c r="B8174" t="s">
        <v>2132</v>
      </c>
      <c r="C8174">
        <v>5</v>
      </c>
      <c r="D8174" t="s">
        <v>1447</v>
      </c>
      <c r="E8174" t="s">
        <v>2133</v>
      </c>
      <c r="F8174" t="s">
        <v>1806</v>
      </c>
      <c r="I8174" s="165" t="str">
        <f>IF(ISBLANK('Q 9'!$G13),"",IF('Q 9'!$G13="&lt;please select&gt;","",'Q 9'!$G13))</f>
        <v>0</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4854</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Yes</v>
      </c>
    </row>
    <row r="8193" spans="1:10" x14ac:dyDescent="0.3">
      <c r="A8193" t="s">
        <v>2136</v>
      </c>
      <c r="B8193" t="s">
        <v>2138</v>
      </c>
      <c r="C8193">
        <v>1</v>
      </c>
      <c r="D8193" t="s">
        <v>1447</v>
      </c>
      <c r="E8193" t="s">
        <v>2133</v>
      </c>
      <c r="F8193" t="s">
        <v>1806</v>
      </c>
      <c r="I8193" s="165" t="str">
        <f>IF(ISBLANK('Q 9'!G34),"",IF('Q 9'!G34="&lt;please select&gt;","",'Q 9'!G34))</f>
        <v>0</v>
      </c>
    </row>
    <row r="8194" spans="1:10" x14ac:dyDescent="0.3">
      <c r="A8194" t="s">
        <v>2136</v>
      </c>
      <c r="B8194" t="s">
        <v>2138</v>
      </c>
      <c r="C8194">
        <v>2</v>
      </c>
      <c r="D8194" t="s">
        <v>1447</v>
      </c>
      <c r="E8194" t="s">
        <v>2133</v>
      </c>
      <c r="F8194" t="s">
        <v>1806</v>
      </c>
      <c r="I8194" s="165" t="str">
        <f>IF(ISBLANK('Q 9'!G35),"",IF('Q 9'!G35="&lt;please select&gt;","",'Q 9'!G35))</f>
        <v>0</v>
      </c>
    </row>
    <row r="8195" spans="1:10" x14ac:dyDescent="0.3">
      <c r="A8195" t="s">
        <v>2136</v>
      </c>
      <c r="B8195" t="s">
        <v>2138</v>
      </c>
      <c r="C8195">
        <v>3</v>
      </c>
      <c r="D8195" t="s">
        <v>1447</v>
      </c>
      <c r="E8195" t="s">
        <v>2133</v>
      </c>
      <c r="F8195" t="s">
        <v>1806</v>
      </c>
      <c r="I8195" s="165" t="str">
        <f>IF(ISBLANK('Q 9'!G36),"",IF('Q 9'!G36="&lt;please select&gt;","",'Q 9'!G36))</f>
        <v>0</v>
      </c>
    </row>
    <row r="8196" spans="1:10" x14ac:dyDescent="0.3">
      <c r="A8196" t="s">
        <v>2136</v>
      </c>
      <c r="B8196" t="s">
        <v>2138</v>
      </c>
      <c r="C8196">
        <v>4</v>
      </c>
      <c r="D8196" t="s">
        <v>1447</v>
      </c>
      <c r="E8196" t="s">
        <v>2133</v>
      </c>
      <c r="F8196" t="s">
        <v>1806</v>
      </c>
      <c r="I8196" s="165" t="str">
        <f>IF(ISBLANK('Q 9'!G37),"",IF('Q 9'!G37="&lt;please select&gt;","",'Q 9'!G37))</f>
        <v>0</v>
      </c>
    </row>
    <row r="8197" spans="1:10" x14ac:dyDescent="0.3">
      <c r="A8197" t="s">
        <v>2136</v>
      </c>
      <c r="B8197" t="s">
        <v>2138</v>
      </c>
      <c r="C8197">
        <v>5</v>
      </c>
      <c r="D8197" t="s">
        <v>1447</v>
      </c>
      <c r="E8197" t="s">
        <v>2133</v>
      </c>
      <c r="F8197" t="s">
        <v>1806</v>
      </c>
      <c r="I8197" s="165" t="str">
        <f>IF(ISBLANK('Q 9'!G38),"",IF('Q 9'!G38="&lt;please select&gt;","",'Q 9'!G38))</f>
        <v>0</v>
      </c>
    </row>
    <row r="8198" spans="1:10" x14ac:dyDescent="0.3">
      <c r="A8198" t="s">
        <v>2136</v>
      </c>
      <c r="B8198" t="s">
        <v>2138</v>
      </c>
      <c r="C8198">
        <v>6</v>
      </c>
      <c r="D8198" t="s">
        <v>1447</v>
      </c>
      <c r="E8198" t="s">
        <v>2133</v>
      </c>
      <c r="F8198" t="s">
        <v>1806</v>
      </c>
      <c r="I8198" s="165" t="str">
        <f>IF(ISBLANK('Q 9'!G39),"",IF('Q 9'!G39="&lt;please select&gt;","",'Q 9'!G39))</f>
        <v>0</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4854</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Maintain</v>
      </c>
    </row>
    <row r="8237" spans="1:9" x14ac:dyDescent="0.3">
      <c r="A8237" t="s">
        <v>2136</v>
      </c>
      <c r="B8237" t="s">
        <v>2143</v>
      </c>
      <c r="C8237">
        <v>2</v>
      </c>
      <c r="D8237" t="s">
        <v>1447</v>
      </c>
      <c r="E8237" t="s">
        <v>2144</v>
      </c>
      <c r="F8237" t="s">
        <v>1741</v>
      </c>
      <c r="G8237" t="str">
        <f>IF(ISBLANK('Q 9'!$C75),"",IF('Q 9'!$C75="&lt;please select&gt;","",'Q 9'!$C75))</f>
        <v>FeePerAllow</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699</v>
      </c>
    </row>
    <row r="8247" spans="1:11" x14ac:dyDescent="0.3">
      <c r="A8247" t="s">
        <v>2136</v>
      </c>
      <c r="B8247" t="s">
        <v>2143</v>
      </c>
      <c r="C8247">
        <v>2</v>
      </c>
      <c r="D8247" t="s">
        <v>1447</v>
      </c>
      <c r="E8247" t="s">
        <v>2145</v>
      </c>
      <c r="F8247" t="s">
        <v>1806</v>
      </c>
      <c r="I8247" s="165" t="str">
        <f>IF(ISBLANK('Q 9'!$G75),"",IF('Q 9'!$G75="&lt;please select&gt;","",'Q 9'!$G75))</f>
        <v>0.027</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Yes</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One sitevisit was conducted as an observer with the NAB and verifier</v>
      </c>
    </row>
    <row r="8265" spans="1:11" x14ac:dyDescent="0.3">
      <c r="A8265" t="s">
        <v>2146</v>
      </c>
      <c r="B8265" t="s">
        <v>2147</v>
      </c>
      <c r="C8265">
        <v>2</v>
      </c>
      <c r="D8265" t="s">
        <v>1447</v>
      </c>
      <c r="E8265" t="s">
        <v>2149</v>
      </c>
      <c r="F8265" t="s">
        <v>1791</v>
      </c>
      <c r="J8265" t="str">
        <f>IF(ISBLANK('Q 10'!$I8),"",IF('Q 10'!$I8="&lt;please select&gt;","",'Q 10'!$I8))</f>
        <v>Not relevant</v>
      </c>
    </row>
    <row r="8266" spans="1:11" x14ac:dyDescent="0.3">
      <c r="A8266" t="s">
        <v>2146</v>
      </c>
      <c r="B8266" t="s">
        <v>2147</v>
      </c>
      <c r="C8266">
        <v>3</v>
      </c>
      <c r="D8266" t="s">
        <v>1447</v>
      </c>
      <c r="E8266" t="s">
        <v>2149</v>
      </c>
      <c r="F8266" t="s">
        <v>1791</v>
      </c>
      <c r="J8266" t="str">
        <f>IF(ISBLANK('Q 10'!$I9),"",IF('Q 10'!$I9="&lt;please select&gt;","",'Q 10'!$I9))</f>
        <v>Reminders on deadlines and obligations.</v>
      </c>
    </row>
    <row r="8267" spans="1:11" x14ac:dyDescent="0.3">
      <c r="A8267" t="s">
        <v>2146</v>
      </c>
      <c r="B8267" t="s">
        <v>2147</v>
      </c>
      <c r="C8267">
        <v>4</v>
      </c>
      <c r="D8267" t="s">
        <v>1447</v>
      </c>
      <c r="E8267" t="s">
        <v>2149</v>
      </c>
      <c r="F8267" t="s">
        <v>1791</v>
      </c>
      <c r="J8267" t="str">
        <f>IF(ISBLANK('Q 10'!$I10),"",IF('Q 10'!$I10="&lt;please select&gt;","",'Q 10'!$I10))</f>
        <v>Two installation did not repeatadly submit verified annual emissionsreports, one installations did not repeatadly surrender allowances.</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
      </c>
    </row>
    <row r="8277" spans="1:10" x14ac:dyDescent="0.3">
      <c r="A8277" t="s">
        <v>2151</v>
      </c>
      <c r="B8277" t="s">
        <v>2152</v>
      </c>
      <c r="C8277">
        <v>2</v>
      </c>
      <c r="D8277" t="s">
        <v>1447</v>
      </c>
      <c r="E8277" t="s">
        <v>2111</v>
      </c>
      <c r="F8277" t="s">
        <v>1806</v>
      </c>
      <c r="I8277" s="165" t="str">
        <f>IF(ISBLANK('Q 10'!$E22),"",IF('Q 10'!$E22="&lt;please select&gt;","",'Q 10'!$E22))</f>
        <v/>
      </c>
    </row>
    <row r="8278" spans="1:10" x14ac:dyDescent="0.3">
      <c r="A8278" t="s">
        <v>2151</v>
      </c>
      <c r="B8278" t="s">
        <v>2152</v>
      </c>
      <c r="C8278">
        <v>3</v>
      </c>
      <c r="D8278" t="s">
        <v>1447</v>
      </c>
      <c r="E8278" t="s">
        <v>2111</v>
      </c>
      <c r="F8278" t="s">
        <v>1806</v>
      </c>
      <c r="I8278" s="165" t="str">
        <f>IF(ISBLANK('Q 10'!$E23),"",IF('Q 10'!$E23="&lt;please select&gt;","",'Q 10'!$E23))</f>
        <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
      </c>
    </row>
    <row r="8282" spans="1:10" x14ac:dyDescent="0.3">
      <c r="A8282" t="s">
        <v>2151</v>
      </c>
      <c r="B8282" t="s">
        <v>2152</v>
      </c>
      <c r="C8282">
        <v>7</v>
      </c>
      <c r="D8282" t="s">
        <v>1447</v>
      </c>
      <c r="E8282" t="s">
        <v>2111</v>
      </c>
      <c r="F8282" t="s">
        <v>1806</v>
      </c>
      <c r="I8282" s="165" t="str">
        <f>IF(ISBLANK('Q 10'!$E27),"",IF('Q 10'!$E27="&lt;please select&gt;","",'Q 10'!$E27))</f>
        <v/>
      </c>
    </row>
    <row r="8283" spans="1:10" x14ac:dyDescent="0.3">
      <c r="A8283" t="s">
        <v>2151</v>
      </c>
      <c r="B8283" t="s">
        <v>2152</v>
      </c>
      <c r="C8283">
        <v>8</v>
      </c>
      <c r="D8283" t="s">
        <v>1447</v>
      </c>
      <c r="E8283" t="s">
        <v>2111</v>
      </c>
      <c r="F8283" t="s">
        <v>1806</v>
      </c>
      <c r="I8283" s="165" t="str">
        <f>IF(ISBLANK('Q 10'!$E28),"",IF('Q 10'!$E28="&lt;please select&gt;","",'Q 10'!$E28))</f>
        <v/>
      </c>
    </row>
    <row r="8284" spans="1:10" x14ac:dyDescent="0.3">
      <c r="A8284" t="s">
        <v>2151</v>
      </c>
      <c r="B8284" t="s">
        <v>2152</v>
      </c>
      <c r="C8284">
        <v>9</v>
      </c>
      <c r="D8284" t="s">
        <v>1447</v>
      </c>
      <c r="E8284" t="s">
        <v>2111</v>
      </c>
      <c r="F8284" t="s">
        <v>1806</v>
      </c>
      <c r="I8284" s="165" t="str">
        <f>IF(ISBLANK('Q 10'!$E29),"",IF('Q 10'!$E29="&lt;please select&gt;","",'Q 10'!$E29))</f>
        <v/>
      </c>
    </row>
    <row r="8285" spans="1:10" x14ac:dyDescent="0.3">
      <c r="A8285" t="s">
        <v>2151</v>
      </c>
      <c r="B8285" t="s">
        <v>2152</v>
      </c>
      <c r="C8285">
        <v>10</v>
      </c>
      <c r="D8285" t="s">
        <v>1447</v>
      </c>
      <c r="E8285" t="s">
        <v>2111</v>
      </c>
      <c r="F8285" t="s">
        <v>1806</v>
      </c>
      <c r="I8285" s="165" t="str">
        <f>IF(ISBLANK('Q 10'!$E30),"",IF('Q 10'!$E30="&lt;please select&gt;","",'Q 10'!$E30))</f>
        <v/>
      </c>
    </row>
    <row r="8286" spans="1:10" x14ac:dyDescent="0.3">
      <c r="A8286" t="s">
        <v>2151</v>
      </c>
      <c r="B8286" t="s">
        <v>2152</v>
      </c>
      <c r="C8286">
        <v>11</v>
      </c>
      <c r="D8286" t="s">
        <v>1447</v>
      </c>
      <c r="E8286" t="s">
        <v>2111</v>
      </c>
      <c r="F8286" t="s">
        <v>1806</v>
      </c>
      <c r="I8286" s="165" t="str">
        <f>IF(ISBLANK('Q 10'!$E31),"",IF('Q 10'!$E31="&lt;please select&gt;","",'Q 10'!$E31))</f>
        <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
      </c>
    </row>
    <row r="8313" spans="1:9" x14ac:dyDescent="0.3">
      <c r="A8313" t="s">
        <v>2151</v>
      </c>
      <c r="B8313" t="s">
        <v>2152</v>
      </c>
      <c r="C8313">
        <v>2</v>
      </c>
      <c r="D8313" t="s">
        <v>1447</v>
      </c>
      <c r="E8313" t="s">
        <v>2112</v>
      </c>
      <c r="F8313" t="s">
        <v>1806</v>
      </c>
      <c r="I8313" s="165" t="str">
        <f>IF(ISBLANK('Q 10'!$F22),"",IF('Q 10'!$F22="&lt;please select&gt;","",'Q 10'!$F22))</f>
        <v/>
      </c>
    </row>
    <row r="8314" spans="1:9" x14ac:dyDescent="0.3">
      <c r="A8314" t="s">
        <v>2151</v>
      </c>
      <c r="B8314" t="s">
        <v>2152</v>
      </c>
      <c r="C8314">
        <v>3</v>
      </c>
      <c r="D8314" t="s">
        <v>1447</v>
      </c>
      <c r="E8314" t="s">
        <v>2112</v>
      </c>
      <c r="F8314" t="s">
        <v>1806</v>
      </c>
      <c r="I8314" s="165" t="str">
        <f>IF(ISBLANK('Q 10'!$F23),"",IF('Q 10'!$F23="&lt;please select&gt;","",'Q 10'!$F23))</f>
        <v/>
      </c>
    </row>
    <row r="8315" spans="1:9" x14ac:dyDescent="0.3">
      <c r="A8315" t="s">
        <v>2151</v>
      </c>
      <c r="B8315" t="s">
        <v>2152</v>
      </c>
      <c r="C8315">
        <v>4</v>
      </c>
      <c r="D8315" t="s">
        <v>1447</v>
      </c>
      <c r="E8315" t="s">
        <v>2112</v>
      </c>
      <c r="F8315" t="s">
        <v>1806</v>
      </c>
      <c r="I8315" s="165" t="str">
        <f>IF(ISBLANK('Q 10'!$F24),"",IF('Q 10'!$F24="&lt;please select&gt;","",'Q 10'!$F24))</f>
        <v/>
      </c>
    </row>
    <row r="8316" spans="1:9" x14ac:dyDescent="0.3">
      <c r="A8316" t="s">
        <v>2151</v>
      </c>
      <c r="B8316" t="s">
        <v>2152</v>
      </c>
      <c r="C8316">
        <v>5</v>
      </c>
      <c r="D8316" t="s">
        <v>1447</v>
      </c>
      <c r="E8316" t="s">
        <v>2112</v>
      </c>
      <c r="F8316" t="s">
        <v>1806</v>
      </c>
      <c r="I8316" s="165" t="str">
        <f>IF(ISBLANK('Q 10'!$F25),"",IF('Q 10'!$F25="&lt;please select&gt;","",'Q 10'!$F25))</f>
        <v/>
      </c>
    </row>
    <row r="8317" spans="1:9" x14ac:dyDescent="0.3">
      <c r="A8317" t="s">
        <v>2151</v>
      </c>
      <c r="B8317" t="s">
        <v>2152</v>
      </c>
      <c r="C8317">
        <v>6</v>
      </c>
      <c r="D8317" t="s">
        <v>1447</v>
      </c>
      <c r="E8317" t="s">
        <v>2112</v>
      </c>
      <c r="F8317" t="s">
        <v>1806</v>
      </c>
      <c r="I8317" s="165" t="str">
        <f>IF(ISBLANK('Q 10'!$F26),"",IF('Q 10'!$F26="&lt;please select&gt;","",'Q 10'!$F26))</f>
        <v/>
      </c>
    </row>
    <row r="8318" spans="1:9" x14ac:dyDescent="0.3">
      <c r="A8318" t="s">
        <v>2151</v>
      </c>
      <c r="B8318" t="s">
        <v>2152</v>
      </c>
      <c r="C8318">
        <v>7</v>
      </c>
      <c r="D8318" t="s">
        <v>1447</v>
      </c>
      <c r="E8318" t="s">
        <v>2112</v>
      </c>
      <c r="F8318" t="s">
        <v>1806</v>
      </c>
      <c r="I8318" s="165" t="str">
        <f>IF(ISBLANK('Q 10'!$F27),"",IF('Q 10'!$F27="&lt;please select&gt;","",'Q 10'!$F27))</f>
        <v/>
      </c>
    </row>
    <row r="8319" spans="1:9" x14ac:dyDescent="0.3">
      <c r="A8319" t="s">
        <v>2151</v>
      </c>
      <c r="B8319" t="s">
        <v>2152</v>
      </c>
      <c r="C8319">
        <v>8</v>
      </c>
      <c r="D8319" t="s">
        <v>1447</v>
      </c>
      <c r="E8319" t="s">
        <v>2112</v>
      </c>
      <c r="F8319" t="s">
        <v>1806</v>
      </c>
      <c r="I8319" s="165" t="str">
        <f>IF(ISBLANK('Q 10'!$F28),"",IF('Q 10'!$F28="&lt;please select&gt;","",'Q 10'!$F28))</f>
        <v/>
      </c>
    </row>
    <row r="8320" spans="1:9" x14ac:dyDescent="0.3">
      <c r="A8320" t="s">
        <v>2151</v>
      </c>
      <c r="B8320" t="s">
        <v>2152</v>
      </c>
      <c r="C8320">
        <v>9</v>
      </c>
      <c r="D8320" t="s">
        <v>1447</v>
      </c>
      <c r="E8320" t="s">
        <v>2112</v>
      </c>
      <c r="F8320" t="s">
        <v>1806</v>
      </c>
      <c r="I8320" s="165" t="str">
        <f>IF(ISBLANK('Q 10'!$F29),"",IF('Q 10'!$F29="&lt;please select&gt;","",'Q 10'!$F29))</f>
        <v/>
      </c>
    </row>
    <row r="8321" spans="1:9" x14ac:dyDescent="0.3">
      <c r="A8321" t="s">
        <v>2151</v>
      </c>
      <c r="B8321" t="s">
        <v>2152</v>
      </c>
      <c r="C8321">
        <v>10</v>
      </c>
      <c r="D8321" t="s">
        <v>1447</v>
      </c>
      <c r="E8321" t="s">
        <v>2112</v>
      </c>
      <c r="F8321" t="s">
        <v>1806</v>
      </c>
      <c r="I8321" s="165" t="str">
        <f>IF(ISBLANK('Q 10'!$F30),"",IF('Q 10'!$F30="&lt;please select&gt;","",'Q 10'!$F30))</f>
        <v/>
      </c>
    </row>
    <row r="8322" spans="1:9" x14ac:dyDescent="0.3">
      <c r="A8322" t="s">
        <v>2151</v>
      </c>
      <c r="B8322" t="s">
        <v>2152</v>
      </c>
      <c r="C8322">
        <v>11</v>
      </c>
      <c r="D8322" t="s">
        <v>1447</v>
      </c>
      <c r="E8322" t="s">
        <v>2112</v>
      </c>
      <c r="F8322" t="s">
        <v>1806</v>
      </c>
      <c r="I8322" s="165" t="str">
        <f>IF(ISBLANK('Q 10'!$F31),"",IF('Q 10'!$F31="&lt;please select&gt;","",'Q 10'!$F31))</f>
        <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0</v>
      </c>
    </row>
    <row r="8349" spans="1:9" x14ac:dyDescent="0.3">
      <c r="A8349" t="s">
        <v>2151</v>
      </c>
      <c r="B8349" t="s">
        <v>2152</v>
      </c>
      <c r="C8349">
        <v>2</v>
      </c>
      <c r="D8349" t="s">
        <v>1447</v>
      </c>
      <c r="E8349" t="s">
        <v>2113</v>
      </c>
      <c r="F8349" t="s">
        <v>1806</v>
      </c>
      <c r="I8349" s="165" t="str">
        <f>IF(ISBLANK('Q 10'!$G22),"",IF('Q 10'!$G22="&lt;please select&gt;","",'Q 10'!$G22))</f>
        <v>0</v>
      </c>
    </row>
    <row r="8350" spans="1:9" x14ac:dyDescent="0.3">
      <c r="A8350" t="s">
        <v>2151</v>
      </c>
      <c r="B8350" t="s">
        <v>2152</v>
      </c>
      <c r="C8350">
        <v>3</v>
      </c>
      <c r="D8350" t="s">
        <v>1447</v>
      </c>
      <c r="E8350" t="s">
        <v>2113</v>
      </c>
      <c r="F8350" t="s">
        <v>1806</v>
      </c>
      <c r="I8350" s="165" t="str">
        <f>IF(ISBLANK('Q 10'!$G23),"",IF('Q 10'!$G23="&lt;please select&gt;","",'Q 10'!$G23))</f>
        <v>0</v>
      </c>
    </row>
    <row r="8351" spans="1:9" x14ac:dyDescent="0.3">
      <c r="A8351" t="s">
        <v>2151</v>
      </c>
      <c r="B8351" t="s">
        <v>2152</v>
      </c>
      <c r="C8351">
        <v>4</v>
      </c>
      <c r="D8351" t="s">
        <v>1447</v>
      </c>
      <c r="E8351" t="s">
        <v>2113</v>
      </c>
      <c r="F8351" t="s">
        <v>1806</v>
      </c>
      <c r="I8351" s="165" t="str">
        <f>IF(ISBLANK('Q 10'!$G24),"",IF('Q 10'!$G24="&lt;please select&gt;","",'Q 10'!$G24))</f>
        <v>0</v>
      </c>
    </row>
    <row r="8352" spans="1:9" x14ac:dyDescent="0.3">
      <c r="A8352" t="s">
        <v>2151</v>
      </c>
      <c r="B8352" t="s">
        <v>2152</v>
      </c>
      <c r="C8352">
        <v>5</v>
      </c>
      <c r="D8352" t="s">
        <v>1447</v>
      </c>
      <c r="E8352" t="s">
        <v>2113</v>
      </c>
      <c r="F8352" t="s">
        <v>1806</v>
      </c>
      <c r="I8352" s="165" t="str">
        <f>IF(ISBLANK('Q 10'!$G25),"",IF('Q 10'!$G25="&lt;please select&gt;","",'Q 10'!$G25))</f>
        <v>0</v>
      </c>
    </row>
    <row r="8353" spans="1:9" x14ac:dyDescent="0.3">
      <c r="A8353" t="s">
        <v>2151</v>
      </c>
      <c r="B8353" t="s">
        <v>2152</v>
      </c>
      <c r="C8353">
        <v>6</v>
      </c>
      <c r="D8353" t="s">
        <v>1447</v>
      </c>
      <c r="E8353" t="s">
        <v>2113</v>
      </c>
      <c r="F8353" t="s">
        <v>1806</v>
      </c>
      <c r="I8353" s="165" t="str">
        <f>IF(ISBLANK('Q 10'!$G26),"",IF('Q 10'!$G26="&lt;please select&gt;","",'Q 10'!$G26))</f>
        <v>0</v>
      </c>
    </row>
    <row r="8354" spans="1:9" x14ac:dyDescent="0.3">
      <c r="A8354" t="s">
        <v>2151</v>
      </c>
      <c r="B8354" t="s">
        <v>2152</v>
      </c>
      <c r="C8354">
        <v>7</v>
      </c>
      <c r="D8354" t="s">
        <v>1447</v>
      </c>
      <c r="E8354" t="s">
        <v>2113</v>
      </c>
      <c r="F8354" t="s">
        <v>1806</v>
      </c>
      <c r="I8354" s="165" t="str">
        <f>IF(ISBLANK('Q 10'!$G27),"",IF('Q 10'!$G27="&lt;please select&gt;","",'Q 10'!$G27))</f>
        <v>0</v>
      </c>
    </row>
    <row r="8355" spans="1:9" x14ac:dyDescent="0.3">
      <c r="A8355" t="s">
        <v>2151</v>
      </c>
      <c r="B8355" t="s">
        <v>2152</v>
      </c>
      <c r="C8355">
        <v>8</v>
      </c>
      <c r="D8355" t="s">
        <v>1447</v>
      </c>
      <c r="E8355" t="s">
        <v>2113</v>
      </c>
      <c r="F8355" t="s">
        <v>1806</v>
      </c>
      <c r="I8355" s="165" t="str">
        <f>IF(ISBLANK('Q 10'!$G28),"",IF('Q 10'!$G28="&lt;please select&gt;","",'Q 10'!$G28))</f>
        <v>0</v>
      </c>
    </row>
    <row r="8356" spans="1:9" x14ac:dyDescent="0.3">
      <c r="A8356" t="s">
        <v>2151</v>
      </c>
      <c r="B8356" t="s">
        <v>2152</v>
      </c>
      <c r="C8356">
        <v>9</v>
      </c>
      <c r="D8356" t="s">
        <v>1447</v>
      </c>
      <c r="E8356" t="s">
        <v>2113</v>
      </c>
      <c r="F8356" t="s">
        <v>1806</v>
      </c>
      <c r="I8356" s="165" t="str">
        <f>IF(ISBLANK('Q 10'!$G29),"",IF('Q 10'!$G29="&lt;please select&gt;","",'Q 10'!$G29))</f>
        <v>0</v>
      </c>
    </row>
    <row r="8357" spans="1:9" x14ac:dyDescent="0.3">
      <c r="A8357" t="s">
        <v>2151</v>
      </c>
      <c r="B8357" t="s">
        <v>2152</v>
      </c>
      <c r="C8357">
        <v>10</v>
      </c>
      <c r="D8357" t="s">
        <v>1447</v>
      </c>
      <c r="E8357" t="s">
        <v>2113</v>
      </c>
      <c r="F8357" t="s">
        <v>1806</v>
      </c>
      <c r="I8357" s="165" t="str">
        <f>IF(ISBLANK('Q 10'!$G30),"",IF('Q 10'!$G30="&lt;please select&gt;","",'Q 10'!$G30))</f>
        <v>0</v>
      </c>
    </row>
    <row r="8358" spans="1:9" x14ac:dyDescent="0.3">
      <c r="A8358" t="s">
        <v>2151</v>
      </c>
      <c r="B8358" t="s">
        <v>2152</v>
      </c>
      <c r="C8358">
        <v>11</v>
      </c>
      <c r="D8358" t="s">
        <v>1447</v>
      </c>
      <c r="E8358" t="s">
        <v>2113</v>
      </c>
      <c r="F8358" t="s">
        <v>1806</v>
      </c>
      <c r="I8358" s="165" t="str">
        <f>IF(ISBLANK('Q 10'!$G31),"",IF('Q 10'!$G31="&lt;please select&gt;","",'Q 10'!$G31))</f>
        <v>0</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24</v>
      </c>
    </row>
    <row r="8385" spans="1:9" x14ac:dyDescent="0.3">
      <c r="A8385" t="s">
        <v>2151</v>
      </c>
      <c r="B8385" t="s">
        <v>2152</v>
      </c>
      <c r="C8385">
        <v>2</v>
      </c>
      <c r="D8385" t="s">
        <v>1447</v>
      </c>
      <c r="E8385" t="s">
        <v>2114</v>
      </c>
      <c r="F8385" t="s">
        <v>1806</v>
      </c>
      <c r="I8385" s="165" t="str">
        <f>IF(ISBLANK('Q 10'!$H22),"",IF('Q 10'!$H22="&lt;please select&gt;","",'Q 10'!$H22))</f>
        <v>24</v>
      </c>
    </row>
    <row r="8386" spans="1:9" x14ac:dyDescent="0.3">
      <c r="A8386" t="s">
        <v>2151</v>
      </c>
      <c r="B8386" t="s">
        <v>2152</v>
      </c>
      <c r="C8386">
        <v>3</v>
      </c>
      <c r="D8386" t="s">
        <v>1447</v>
      </c>
      <c r="E8386" t="s">
        <v>2114</v>
      </c>
      <c r="F8386" t="s">
        <v>1806</v>
      </c>
      <c r="I8386" s="165" t="str">
        <f>IF(ISBLANK('Q 10'!$H23),"",IF('Q 10'!$H23="&lt;please select&gt;","",'Q 10'!$H23))</f>
        <v>24</v>
      </c>
    </row>
    <row r="8387" spans="1:9" x14ac:dyDescent="0.3">
      <c r="A8387" t="s">
        <v>2151</v>
      </c>
      <c r="B8387" t="s">
        <v>2152</v>
      </c>
      <c r="C8387">
        <v>4</v>
      </c>
      <c r="D8387" t="s">
        <v>1447</v>
      </c>
      <c r="E8387" t="s">
        <v>2114</v>
      </c>
      <c r="F8387" t="s">
        <v>1806</v>
      </c>
      <c r="I8387" s="165" t="str">
        <f>IF(ISBLANK('Q 10'!$H24),"",IF('Q 10'!$H24="&lt;please select&gt;","",'Q 10'!$H24))</f>
        <v>24</v>
      </c>
    </row>
    <row r="8388" spans="1:9" x14ac:dyDescent="0.3">
      <c r="A8388" t="s">
        <v>2151</v>
      </c>
      <c r="B8388" t="s">
        <v>2152</v>
      </c>
      <c r="C8388">
        <v>5</v>
      </c>
      <c r="D8388" t="s">
        <v>1447</v>
      </c>
      <c r="E8388" t="s">
        <v>2114</v>
      </c>
      <c r="F8388" t="s">
        <v>1806</v>
      </c>
      <c r="I8388" s="165" t="str">
        <f>IF(ISBLANK('Q 10'!$H25),"",IF('Q 10'!$H25="&lt;please select&gt;","",'Q 10'!$H25))</f>
        <v>24</v>
      </c>
    </row>
    <row r="8389" spans="1:9" x14ac:dyDescent="0.3">
      <c r="A8389" t="s">
        <v>2151</v>
      </c>
      <c r="B8389" t="s">
        <v>2152</v>
      </c>
      <c r="C8389">
        <v>6</v>
      </c>
      <c r="D8389" t="s">
        <v>1447</v>
      </c>
      <c r="E8389" t="s">
        <v>2114</v>
      </c>
      <c r="F8389" t="s">
        <v>1806</v>
      </c>
      <c r="I8389" s="165" t="str">
        <f>IF(ISBLANK('Q 10'!$H26),"",IF('Q 10'!$H26="&lt;please select&gt;","",'Q 10'!$H26))</f>
        <v>24</v>
      </c>
    </row>
    <row r="8390" spans="1:9" x14ac:dyDescent="0.3">
      <c r="A8390" t="s">
        <v>2151</v>
      </c>
      <c r="B8390" t="s">
        <v>2152</v>
      </c>
      <c r="C8390">
        <v>7</v>
      </c>
      <c r="D8390" t="s">
        <v>1447</v>
      </c>
      <c r="E8390" t="s">
        <v>2114</v>
      </c>
      <c r="F8390" t="s">
        <v>1806</v>
      </c>
      <c r="I8390" s="165" t="str">
        <f>IF(ISBLANK('Q 10'!$H27),"",IF('Q 10'!$H27="&lt;please select&gt;","",'Q 10'!$H27))</f>
        <v>24</v>
      </c>
    </row>
    <row r="8391" spans="1:9" x14ac:dyDescent="0.3">
      <c r="A8391" t="s">
        <v>2151</v>
      </c>
      <c r="B8391" t="s">
        <v>2152</v>
      </c>
      <c r="C8391">
        <v>8</v>
      </c>
      <c r="D8391" t="s">
        <v>1447</v>
      </c>
      <c r="E8391" t="s">
        <v>2114</v>
      </c>
      <c r="F8391" t="s">
        <v>1806</v>
      </c>
      <c r="I8391" s="165" t="str">
        <f>IF(ISBLANK('Q 10'!$H28),"",IF('Q 10'!$H28="&lt;please select&gt;","",'Q 10'!$H28))</f>
        <v>24</v>
      </c>
    </row>
    <row r="8392" spans="1:9" x14ac:dyDescent="0.3">
      <c r="A8392" t="s">
        <v>2151</v>
      </c>
      <c r="B8392" t="s">
        <v>2152</v>
      </c>
      <c r="C8392">
        <v>9</v>
      </c>
      <c r="D8392" t="s">
        <v>1447</v>
      </c>
      <c r="E8392" t="s">
        <v>2114</v>
      </c>
      <c r="F8392" t="s">
        <v>1806</v>
      </c>
      <c r="I8392" s="165" t="str">
        <f>IF(ISBLANK('Q 10'!$H29),"",IF('Q 10'!$H29="&lt;please select&gt;","",'Q 10'!$H29))</f>
        <v>24</v>
      </c>
    </row>
    <row r="8393" spans="1:9" x14ac:dyDescent="0.3">
      <c r="A8393" t="s">
        <v>2151</v>
      </c>
      <c r="B8393" t="s">
        <v>2152</v>
      </c>
      <c r="C8393">
        <v>10</v>
      </c>
      <c r="D8393" t="s">
        <v>1447</v>
      </c>
      <c r="E8393" t="s">
        <v>2114</v>
      </c>
      <c r="F8393" t="s">
        <v>1806</v>
      </c>
      <c r="I8393" s="165" t="str">
        <f>IF(ISBLANK('Q 10'!$H30),"",IF('Q 10'!$H30="&lt;please select&gt;","",'Q 10'!$H30))</f>
        <v>24</v>
      </c>
    </row>
    <row r="8394" spans="1:9" x14ac:dyDescent="0.3">
      <c r="A8394" t="s">
        <v>2151</v>
      </c>
      <c r="B8394" t="s">
        <v>2152</v>
      </c>
      <c r="C8394">
        <v>11</v>
      </c>
      <c r="D8394" t="s">
        <v>1447</v>
      </c>
      <c r="E8394" t="s">
        <v>2114</v>
      </c>
      <c r="F8394" t="s">
        <v>1806</v>
      </c>
      <c r="I8394" s="165" t="str">
        <f>IF(ISBLANK('Q 10'!$H31),"",IF('Q 10'!$H31="&lt;please select&gt;","",'Q 10'!$H31))</f>
        <v>24</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Unless more severe punishment (fine and imprisonment) is incurred under other legislation. A fine will according to the danish law on CO2-allowances and normal legal rules and principles in the Danish Legal system be settled by court decisions.</v>
      </c>
    </row>
    <row r="8421" spans="1:10" x14ac:dyDescent="0.3">
      <c r="A8421" t="s">
        <v>2151</v>
      </c>
      <c r="B8421" t="s">
        <v>2152</v>
      </c>
      <c r="C8421">
        <v>2</v>
      </c>
      <c r="D8421" t="s">
        <v>1447</v>
      </c>
      <c r="E8421" t="s">
        <v>2115</v>
      </c>
      <c r="F8421" t="s">
        <v>1791</v>
      </c>
      <c r="J8421" t="str">
        <f>IF(ISBLANK('Q 10'!$I22),"",IF('Q 10'!$I22="&lt;please select&gt;","",'Q 10'!$I22))</f>
        <v>see above</v>
      </c>
    </row>
    <row r="8422" spans="1:10" x14ac:dyDescent="0.3">
      <c r="A8422" t="s">
        <v>2151</v>
      </c>
      <c r="B8422" t="s">
        <v>2152</v>
      </c>
      <c r="C8422">
        <v>3</v>
      </c>
      <c r="D8422" t="s">
        <v>1447</v>
      </c>
      <c r="E8422" t="s">
        <v>2115</v>
      </c>
      <c r="F8422" t="s">
        <v>1791</v>
      </c>
      <c r="J8422" t="str">
        <f>IF(ISBLANK('Q 10'!$I23),"",IF('Q 10'!$I23="&lt;please select&gt;","",'Q 10'!$I23))</f>
        <v>see above</v>
      </c>
    </row>
    <row r="8423" spans="1:10" x14ac:dyDescent="0.3">
      <c r="A8423" t="s">
        <v>2151</v>
      </c>
      <c r="B8423" t="s">
        <v>2152</v>
      </c>
      <c r="C8423">
        <v>4</v>
      </c>
      <c r="D8423" t="s">
        <v>1447</v>
      </c>
      <c r="E8423" t="s">
        <v>2115</v>
      </c>
      <c r="F8423" t="s">
        <v>1791</v>
      </c>
      <c r="J8423" t="str">
        <f>IF(ISBLANK('Q 10'!$I24),"",IF('Q 10'!$I24="&lt;please select&gt;","",'Q 10'!$I24))</f>
        <v>see above</v>
      </c>
    </row>
    <row r="8424" spans="1:10" x14ac:dyDescent="0.3">
      <c r="A8424" t="s">
        <v>2151</v>
      </c>
      <c r="B8424" t="s">
        <v>2152</v>
      </c>
      <c r="C8424">
        <v>5</v>
      </c>
      <c r="D8424" t="s">
        <v>1447</v>
      </c>
      <c r="E8424" t="s">
        <v>2115</v>
      </c>
      <c r="F8424" t="s">
        <v>1791</v>
      </c>
      <c r="J8424" t="str">
        <f>IF(ISBLANK('Q 10'!$I25),"",IF('Q 10'!$I25="&lt;please select&gt;","",'Q 10'!$I25))</f>
        <v>see above</v>
      </c>
    </row>
    <row r="8425" spans="1:10" x14ac:dyDescent="0.3">
      <c r="A8425" t="s">
        <v>2151</v>
      </c>
      <c r="B8425" t="s">
        <v>2152</v>
      </c>
      <c r="C8425">
        <v>6</v>
      </c>
      <c r="D8425" t="s">
        <v>1447</v>
      </c>
      <c r="E8425" t="s">
        <v>2115</v>
      </c>
      <c r="F8425" t="s">
        <v>1791</v>
      </c>
      <c r="J8425" t="str">
        <f>IF(ISBLANK('Q 10'!$I26),"",IF('Q 10'!$I26="&lt;please select&gt;","",'Q 10'!$I26))</f>
        <v>see above</v>
      </c>
    </row>
    <row r="8426" spans="1:10" x14ac:dyDescent="0.3">
      <c r="A8426" t="s">
        <v>2151</v>
      </c>
      <c r="B8426" t="s">
        <v>2152</v>
      </c>
      <c r="C8426">
        <v>7</v>
      </c>
      <c r="D8426" t="s">
        <v>1447</v>
      </c>
      <c r="E8426" t="s">
        <v>2115</v>
      </c>
      <c r="F8426" t="s">
        <v>1791</v>
      </c>
      <c r="J8426" t="str">
        <f>IF(ISBLANK('Q 10'!$I27),"",IF('Q 10'!$I27="&lt;please select&gt;","",'Q 10'!$I27))</f>
        <v>see above</v>
      </c>
    </row>
    <row r="8427" spans="1:10" x14ac:dyDescent="0.3">
      <c r="A8427" t="s">
        <v>2151</v>
      </c>
      <c r="B8427" t="s">
        <v>2152</v>
      </c>
      <c r="C8427">
        <v>8</v>
      </c>
      <c r="D8427" t="s">
        <v>1447</v>
      </c>
      <c r="E8427" t="s">
        <v>2115</v>
      </c>
      <c r="F8427" t="s">
        <v>1791</v>
      </c>
      <c r="J8427" t="str">
        <f>IF(ISBLANK('Q 10'!$I28),"",IF('Q 10'!$I28="&lt;please select&gt;","",'Q 10'!$I28))</f>
        <v>see above</v>
      </c>
    </row>
    <row r="8428" spans="1:10" x14ac:dyDescent="0.3">
      <c r="A8428" t="s">
        <v>2151</v>
      </c>
      <c r="B8428" t="s">
        <v>2152</v>
      </c>
      <c r="C8428">
        <v>9</v>
      </c>
      <c r="D8428" t="s">
        <v>1447</v>
      </c>
      <c r="E8428" t="s">
        <v>2115</v>
      </c>
      <c r="F8428" t="s">
        <v>1791</v>
      </c>
      <c r="J8428" t="str">
        <f>IF(ISBLANK('Q 10'!$I29),"",IF('Q 10'!$I29="&lt;please select&gt;","",'Q 10'!$I29))</f>
        <v>see above</v>
      </c>
    </row>
    <row r="8429" spans="1:10" x14ac:dyDescent="0.3">
      <c r="A8429" t="s">
        <v>2151</v>
      </c>
      <c r="B8429" t="s">
        <v>2152</v>
      </c>
      <c r="C8429">
        <v>10</v>
      </c>
      <c r="D8429" t="s">
        <v>1447</v>
      </c>
      <c r="E8429" t="s">
        <v>2115</v>
      </c>
      <c r="F8429" t="s">
        <v>1791</v>
      </c>
      <c r="J8429" t="str">
        <f>IF(ISBLANK('Q 10'!$I30),"",IF('Q 10'!$I30="&lt;please select&gt;","",'Q 10'!$I30))</f>
        <v>see above</v>
      </c>
    </row>
    <row r="8430" spans="1:10" x14ac:dyDescent="0.3">
      <c r="A8430" t="s">
        <v>2151</v>
      </c>
      <c r="B8430" t="s">
        <v>2152</v>
      </c>
      <c r="C8430">
        <v>11</v>
      </c>
      <c r="D8430" t="s">
        <v>1447</v>
      </c>
      <c r="E8430" t="s">
        <v>2115</v>
      </c>
      <c r="F8430" t="s">
        <v>1791</v>
      </c>
      <c r="J8430" t="str">
        <f>IF(ISBLANK('Q 10'!$I31),"",IF('Q 10'!$I31="&lt;please select&gt;","",'Q 10'!$I31))</f>
        <v>see above</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Law No 536 of 27 April 2022 and Ordinance No 2134 of 21 December 2020</v>
      </c>
    </row>
    <row r="8482" spans="1:11" x14ac:dyDescent="0.3">
      <c r="A8482" t="s">
        <v>2154</v>
      </c>
      <c r="B8482" t="s">
        <v>2155</v>
      </c>
      <c r="C8482">
        <v>1</v>
      </c>
      <c r="D8482" t="s">
        <v>1447</v>
      </c>
      <c r="E8482" t="s">
        <v>2119</v>
      </c>
      <c r="F8482" t="s">
        <v>1737</v>
      </c>
      <c r="K8482" t="str">
        <f>IF(ISBLANK('Q 10'!$C66),"",IF('Q 10'!$C66="&lt;please select&gt;","",'Q 10'!$C66))</f>
        <v>Failure to submit a verified emission report by 31 March or earlier if the competent authority set an earlier deadline</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Yes</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No</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Yes</v>
      </c>
    </row>
    <row r="8615" spans="1:11" x14ac:dyDescent="0.3">
      <c r="A8615" t="s">
        <v>2154</v>
      </c>
      <c r="B8615" t="s">
        <v>2157</v>
      </c>
      <c r="C8615">
        <v>1</v>
      </c>
      <c r="D8615" t="s">
        <v>1447</v>
      </c>
      <c r="E8615" t="s">
        <v>2127</v>
      </c>
      <c r="F8615" t="s">
        <v>1741</v>
      </c>
      <c r="G8615" t="str">
        <f>IF(ISBLANK('Q 10'!$C93),"",IF('Q 10'!$C93="&lt;please select&gt;","",'Q 10'!$C93))</f>
        <v>Failure to submit a verified emission report by 31 March and to surrender allowances.</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Fines</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2020</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DK-401</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Regulerkraft Ikast Aps</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
      </c>
    </row>
    <row r="8713" spans="1:10" x14ac:dyDescent="0.3">
      <c r="A8713" t="s">
        <v>2162</v>
      </c>
      <c r="B8713" t="s">
        <v>2163</v>
      </c>
      <c r="C8713">
        <v>4</v>
      </c>
      <c r="D8713" t="s">
        <v>1447</v>
      </c>
      <c r="E8713" t="s">
        <v>2111</v>
      </c>
      <c r="F8713" t="s">
        <v>1806</v>
      </c>
      <c r="I8713" s="165" t="str">
        <f>IF(ISBLANK('Q 10'!$E150),"",IF('Q 10'!$E150="&lt;please select&gt;","",'Q 10'!$E150))</f>
        <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
      </c>
    </row>
    <row r="8728" spans="1:9" x14ac:dyDescent="0.3">
      <c r="A8728" t="s">
        <v>2162</v>
      </c>
      <c r="B8728" t="s">
        <v>2163</v>
      </c>
      <c r="C8728">
        <v>4</v>
      </c>
      <c r="D8728" t="s">
        <v>1447</v>
      </c>
      <c r="E8728" t="s">
        <v>2112</v>
      </c>
      <c r="F8728" t="s">
        <v>1806</v>
      </c>
      <c r="I8728" s="165" t="str">
        <f>IF(ISBLANK('Q 10'!$F150),"",IF('Q 10'!$F150="&lt;please select&gt;","",'Q 10'!$F150))</f>
        <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0</v>
      </c>
    </row>
    <row r="8741" spans="1:9" x14ac:dyDescent="0.3">
      <c r="A8741" t="s">
        <v>2162</v>
      </c>
      <c r="B8741" t="s">
        <v>2163</v>
      </c>
      <c r="C8741">
        <v>2</v>
      </c>
      <c r="D8741" t="s">
        <v>1447</v>
      </c>
      <c r="E8741" t="s">
        <v>2113</v>
      </c>
      <c r="F8741" t="s">
        <v>1806</v>
      </c>
      <c r="I8741" s="165" t="str">
        <f>IF(ISBLANK('Q 10'!$G148),"",IF('Q 10'!$G148="&lt;please select&gt;","",'Q 10'!$G148))</f>
        <v>0</v>
      </c>
    </row>
    <row r="8742" spans="1:9" x14ac:dyDescent="0.3">
      <c r="A8742" t="s">
        <v>2162</v>
      </c>
      <c r="B8742" t="s">
        <v>2163</v>
      </c>
      <c r="C8742">
        <v>3</v>
      </c>
      <c r="D8742" t="s">
        <v>1447</v>
      </c>
      <c r="E8742" t="s">
        <v>2113</v>
      </c>
      <c r="F8742" t="s">
        <v>1806</v>
      </c>
      <c r="I8742" s="165" t="str">
        <f>IF(ISBLANK('Q 10'!$G149),"",IF('Q 10'!$G149="&lt;please select&gt;","",'Q 10'!$G149))</f>
        <v>0</v>
      </c>
    </row>
    <row r="8743" spans="1:9" x14ac:dyDescent="0.3">
      <c r="A8743" t="s">
        <v>2162</v>
      </c>
      <c r="B8743" t="s">
        <v>2163</v>
      </c>
      <c r="C8743">
        <v>4</v>
      </c>
      <c r="D8743" t="s">
        <v>1447</v>
      </c>
      <c r="E8743" t="s">
        <v>2113</v>
      </c>
      <c r="F8743" t="s">
        <v>1806</v>
      </c>
      <c r="I8743" s="165" t="str">
        <f>IF(ISBLANK('Q 10'!$G150),"",IF('Q 10'!$G150="&lt;please select&gt;","",'Q 10'!$G150))</f>
        <v>0</v>
      </c>
    </row>
    <row r="8744" spans="1:9" x14ac:dyDescent="0.3">
      <c r="A8744" t="s">
        <v>2162</v>
      </c>
      <c r="B8744" t="s">
        <v>2163</v>
      </c>
      <c r="C8744">
        <v>5</v>
      </c>
      <c r="D8744" t="s">
        <v>1447</v>
      </c>
      <c r="E8744" t="s">
        <v>2113</v>
      </c>
      <c r="F8744" t="s">
        <v>1806</v>
      </c>
      <c r="I8744" s="165" t="str">
        <f>IF(ISBLANK('Q 10'!$G151),"",IF('Q 10'!$G151="&lt;please select&gt;","",'Q 10'!$G151))</f>
        <v>0</v>
      </c>
    </row>
    <row r="8745" spans="1:9" x14ac:dyDescent="0.3">
      <c r="A8745" t="s">
        <v>2162</v>
      </c>
      <c r="B8745" t="s">
        <v>2163</v>
      </c>
      <c r="C8745">
        <v>6</v>
      </c>
      <c r="D8745" t="s">
        <v>1447</v>
      </c>
      <c r="E8745" t="s">
        <v>2113</v>
      </c>
      <c r="F8745" t="s">
        <v>1806</v>
      </c>
      <c r="I8745" s="165" t="str">
        <f>IF(ISBLANK('Q 10'!$G152),"",IF('Q 10'!$G152="&lt;please select&gt;","",'Q 10'!$G152))</f>
        <v>0</v>
      </c>
    </row>
    <row r="8746" spans="1:9" x14ac:dyDescent="0.3">
      <c r="A8746" t="s">
        <v>2162</v>
      </c>
      <c r="B8746" t="s">
        <v>2163</v>
      </c>
      <c r="C8746">
        <v>7</v>
      </c>
      <c r="D8746" t="s">
        <v>1447</v>
      </c>
      <c r="E8746" t="s">
        <v>2113</v>
      </c>
      <c r="F8746" t="s">
        <v>1806</v>
      </c>
      <c r="I8746" s="165" t="str">
        <f>IF(ISBLANK('Q 10'!$G153),"",IF('Q 10'!$G153="&lt;please select&gt;","",'Q 10'!$G153))</f>
        <v>0</v>
      </c>
    </row>
    <row r="8747" spans="1:9" x14ac:dyDescent="0.3">
      <c r="A8747" t="s">
        <v>2162</v>
      </c>
      <c r="B8747" t="s">
        <v>2163</v>
      </c>
      <c r="C8747">
        <v>8</v>
      </c>
      <c r="D8747" t="s">
        <v>1447</v>
      </c>
      <c r="E8747" t="s">
        <v>2113</v>
      </c>
      <c r="F8747" t="s">
        <v>1806</v>
      </c>
      <c r="I8747" s="165" t="str">
        <f>IF(ISBLANK('Q 10'!$G154),"",IF('Q 10'!$G154="&lt;please select&gt;","",'Q 10'!$G154))</f>
        <v>0</v>
      </c>
    </row>
    <row r="8748" spans="1:9" x14ac:dyDescent="0.3">
      <c r="A8748" t="s">
        <v>2162</v>
      </c>
      <c r="B8748" t="s">
        <v>2163</v>
      </c>
      <c r="C8748">
        <v>9</v>
      </c>
      <c r="D8748" t="s">
        <v>1447</v>
      </c>
      <c r="E8748" t="s">
        <v>2113</v>
      </c>
      <c r="F8748" t="s">
        <v>1806</v>
      </c>
      <c r="I8748" s="165" t="str">
        <f>IF(ISBLANK('Q 10'!$G155),"",IF('Q 10'!$G155="&lt;please select&gt;","",'Q 10'!$G155))</f>
        <v>0</v>
      </c>
    </row>
    <row r="8749" spans="1:9" x14ac:dyDescent="0.3">
      <c r="A8749" t="s">
        <v>2162</v>
      </c>
      <c r="B8749" t="s">
        <v>2163</v>
      </c>
      <c r="C8749">
        <v>10</v>
      </c>
      <c r="D8749" t="s">
        <v>1447</v>
      </c>
      <c r="E8749" t="s">
        <v>2113</v>
      </c>
      <c r="F8749" t="s">
        <v>1806</v>
      </c>
      <c r="I8749" s="165" t="str">
        <f>IF(ISBLANK('Q 10'!$G156),"",IF('Q 10'!$G156="&lt;please select&gt;","",'Q 10'!$G156))</f>
        <v>0</v>
      </c>
    </row>
    <row r="8750" spans="1:9" x14ac:dyDescent="0.3">
      <c r="A8750" t="s">
        <v>2162</v>
      </c>
      <c r="B8750" t="s">
        <v>2163</v>
      </c>
      <c r="C8750">
        <v>11</v>
      </c>
      <c r="D8750" t="s">
        <v>1447</v>
      </c>
      <c r="E8750" t="s">
        <v>2113</v>
      </c>
      <c r="F8750" t="s">
        <v>1806</v>
      </c>
      <c r="I8750" s="165" t="str">
        <f>IF(ISBLANK('Q 10'!$G157),"",IF('Q 10'!$G157="&lt;please select&gt;","",'Q 10'!$G157))</f>
        <v>0</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24</v>
      </c>
    </row>
    <row r="8756" spans="1:9" x14ac:dyDescent="0.3">
      <c r="A8756" t="s">
        <v>2162</v>
      </c>
      <c r="B8756" t="s">
        <v>2163</v>
      </c>
      <c r="C8756">
        <v>2</v>
      </c>
      <c r="D8756" t="s">
        <v>1447</v>
      </c>
      <c r="E8756" t="s">
        <v>2114</v>
      </c>
      <c r="F8756" t="s">
        <v>1806</v>
      </c>
      <c r="I8756" s="165" t="str">
        <f>IF(ISBLANK('Q 10'!$H148),"",IF('Q 10'!$H148="&lt;please select&gt;","",'Q 10'!$H148))</f>
        <v>24</v>
      </c>
    </row>
    <row r="8757" spans="1:9" x14ac:dyDescent="0.3">
      <c r="A8757" t="s">
        <v>2162</v>
      </c>
      <c r="B8757" t="s">
        <v>2163</v>
      </c>
      <c r="C8757">
        <v>3</v>
      </c>
      <c r="D8757" t="s">
        <v>1447</v>
      </c>
      <c r="E8757" t="s">
        <v>2114</v>
      </c>
      <c r="F8757" t="s">
        <v>1806</v>
      </c>
      <c r="I8757" s="165" t="str">
        <f>IF(ISBLANK('Q 10'!$H149),"",IF('Q 10'!$H149="&lt;please select&gt;","",'Q 10'!$H149))</f>
        <v>24</v>
      </c>
    </row>
    <row r="8758" spans="1:9" x14ac:dyDescent="0.3">
      <c r="A8758" t="s">
        <v>2162</v>
      </c>
      <c r="B8758" t="s">
        <v>2163</v>
      </c>
      <c r="C8758">
        <v>4</v>
      </c>
      <c r="D8758" t="s">
        <v>1447</v>
      </c>
      <c r="E8758" t="s">
        <v>2114</v>
      </c>
      <c r="F8758" t="s">
        <v>1806</v>
      </c>
      <c r="I8758" s="165" t="str">
        <f>IF(ISBLANK('Q 10'!$H150),"",IF('Q 10'!$H150="&lt;please select&gt;","",'Q 10'!$H150))</f>
        <v>24</v>
      </c>
    </row>
    <row r="8759" spans="1:9" x14ac:dyDescent="0.3">
      <c r="A8759" t="s">
        <v>2162</v>
      </c>
      <c r="B8759" t="s">
        <v>2163</v>
      </c>
      <c r="C8759">
        <v>5</v>
      </c>
      <c r="D8759" t="s">
        <v>1447</v>
      </c>
      <c r="E8759" t="s">
        <v>2114</v>
      </c>
      <c r="F8759" t="s">
        <v>1806</v>
      </c>
      <c r="I8759" s="165" t="str">
        <f>IF(ISBLANK('Q 10'!$H151),"",IF('Q 10'!$H151="&lt;please select&gt;","",'Q 10'!$H151))</f>
        <v>24</v>
      </c>
    </row>
    <row r="8760" spans="1:9" x14ac:dyDescent="0.3">
      <c r="A8760" t="s">
        <v>2162</v>
      </c>
      <c r="B8760" t="s">
        <v>2163</v>
      </c>
      <c r="C8760">
        <v>6</v>
      </c>
      <c r="D8760" t="s">
        <v>1447</v>
      </c>
      <c r="E8760" t="s">
        <v>2114</v>
      </c>
      <c r="F8760" t="s">
        <v>1806</v>
      </c>
      <c r="I8760" s="165" t="str">
        <f>IF(ISBLANK('Q 10'!$H152),"",IF('Q 10'!$H152="&lt;please select&gt;","",'Q 10'!$H152))</f>
        <v>24</v>
      </c>
    </row>
    <row r="8761" spans="1:9" x14ac:dyDescent="0.3">
      <c r="A8761" t="s">
        <v>2162</v>
      </c>
      <c r="B8761" t="s">
        <v>2163</v>
      </c>
      <c r="C8761">
        <v>7</v>
      </c>
      <c r="D8761" t="s">
        <v>1447</v>
      </c>
      <c r="E8761" t="s">
        <v>2114</v>
      </c>
      <c r="F8761" t="s">
        <v>1806</v>
      </c>
      <c r="I8761" s="165" t="str">
        <f>IF(ISBLANK('Q 10'!$H153),"",IF('Q 10'!$H153="&lt;please select&gt;","",'Q 10'!$H153))</f>
        <v>24</v>
      </c>
    </row>
    <row r="8762" spans="1:9" x14ac:dyDescent="0.3">
      <c r="A8762" t="s">
        <v>2162</v>
      </c>
      <c r="B8762" t="s">
        <v>2163</v>
      </c>
      <c r="C8762">
        <v>8</v>
      </c>
      <c r="D8762" t="s">
        <v>1447</v>
      </c>
      <c r="E8762" t="s">
        <v>2114</v>
      </c>
      <c r="F8762" t="s">
        <v>1806</v>
      </c>
      <c r="I8762" s="165" t="str">
        <f>IF(ISBLANK('Q 10'!$H154),"",IF('Q 10'!$H154="&lt;please select&gt;","",'Q 10'!$H154))</f>
        <v>24</v>
      </c>
    </row>
    <row r="8763" spans="1:9" x14ac:dyDescent="0.3">
      <c r="A8763" t="s">
        <v>2162</v>
      </c>
      <c r="B8763" t="s">
        <v>2163</v>
      </c>
      <c r="C8763">
        <v>9</v>
      </c>
      <c r="D8763" t="s">
        <v>1447</v>
      </c>
      <c r="E8763" t="s">
        <v>2114</v>
      </c>
      <c r="F8763" t="s">
        <v>1806</v>
      </c>
      <c r="I8763" s="165" t="str">
        <f>IF(ISBLANK('Q 10'!$H155),"",IF('Q 10'!$H155="&lt;please select&gt;","",'Q 10'!$H155))</f>
        <v>24</v>
      </c>
    </row>
    <row r="8764" spans="1:9" x14ac:dyDescent="0.3">
      <c r="A8764" t="s">
        <v>2162</v>
      </c>
      <c r="B8764" t="s">
        <v>2163</v>
      </c>
      <c r="C8764">
        <v>10</v>
      </c>
      <c r="D8764" t="s">
        <v>1447</v>
      </c>
      <c r="E8764" t="s">
        <v>2114</v>
      </c>
      <c r="F8764" t="s">
        <v>1806</v>
      </c>
      <c r="I8764" s="165" t="str">
        <f>IF(ISBLANK('Q 10'!$H156),"",IF('Q 10'!$H156="&lt;please select&gt;","",'Q 10'!$H156))</f>
        <v>24</v>
      </c>
    </row>
    <row r="8765" spans="1:9" x14ac:dyDescent="0.3">
      <c r="A8765" t="s">
        <v>2162</v>
      </c>
      <c r="B8765" t="s">
        <v>2163</v>
      </c>
      <c r="C8765">
        <v>11</v>
      </c>
      <c r="D8765" t="s">
        <v>1447</v>
      </c>
      <c r="E8765" t="s">
        <v>2114</v>
      </c>
      <c r="F8765" t="s">
        <v>1806</v>
      </c>
      <c r="I8765" s="165" t="str">
        <f>IF(ISBLANK('Q 10'!$H157),"",IF('Q 10'!$H157="&lt;please select&gt;","",'Q 10'!$H157))</f>
        <v>24</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Unless more severe punishment (fine and imprisonmment) is incurred under other legislation. A fine will according to the Danish law on CO2-Allowances and normal legal rules and principles in the Danish legal system be settled by court decision.</v>
      </c>
    </row>
    <row r="8771" spans="1:10" x14ac:dyDescent="0.3">
      <c r="A8771" t="s">
        <v>2162</v>
      </c>
      <c r="B8771" t="s">
        <v>2163</v>
      </c>
      <c r="C8771">
        <v>2</v>
      </c>
      <c r="D8771" t="s">
        <v>1447</v>
      </c>
      <c r="E8771" t="s">
        <v>2115</v>
      </c>
      <c r="F8771" t="s">
        <v>1791</v>
      </c>
      <c r="J8771" t="str">
        <f>IF(ISBLANK('Q 10'!$I148),"",IF('Q 10'!$I148="&lt;please select&gt;","",'Q 10'!$I148))</f>
        <v>See above</v>
      </c>
    </row>
    <row r="8772" spans="1:10" x14ac:dyDescent="0.3">
      <c r="A8772" t="s">
        <v>2162</v>
      </c>
      <c r="B8772" t="s">
        <v>2163</v>
      </c>
      <c r="C8772">
        <v>3</v>
      </c>
      <c r="D8772" t="s">
        <v>1447</v>
      </c>
      <c r="E8772" t="s">
        <v>2115</v>
      </c>
      <c r="F8772" t="s">
        <v>1791</v>
      </c>
      <c r="J8772" t="str">
        <f>IF(ISBLANK('Q 10'!$I149),"",IF('Q 10'!$I149="&lt;please select&gt;","",'Q 10'!$I149))</f>
        <v>See above</v>
      </c>
    </row>
    <row r="8773" spans="1:10" x14ac:dyDescent="0.3">
      <c r="A8773" t="s">
        <v>2162</v>
      </c>
      <c r="B8773" t="s">
        <v>2163</v>
      </c>
      <c r="C8773">
        <v>4</v>
      </c>
      <c r="D8773" t="s">
        <v>1447</v>
      </c>
      <c r="E8773" t="s">
        <v>2115</v>
      </c>
      <c r="F8773" t="s">
        <v>1791</v>
      </c>
      <c r="J8773" t="str">
        <f>IF(ISBLANK('Q 10'!$I150),"",IF('Q 10'!$I150="&lt;please select&gt;","",'Q 10'!$I150))</f>
        <v>See above</v>
      </c>
    </row>
    <row r="8774" spans="1:10" x14ac:dyDescent="0.3">
      <c r="A8774" t="s">
        <v>2162</v>
      </c>
      <c r="B8774" t="s">
        <v>2163</v>
      </c>
      <c r="C8774">
        <v>5</v>
      </c>
      <c r="D8774" t="s">
        <v>1447</v>
      </c>
      <c r="E8774" t="s">
        <v>2115</v>
      </c>
      <c r="F8774" t="s">
        <v>1791</v>
      </c>
      <c r="J8774" t="str">
        <f>IF(ISBLANK('Q 10'!$I151),"",IF('Q 10'!$I151="&lt;please select&gt;","",'Q 10'!$I151))</f>
        <v>See above</v>
      </c>
    </row>
    <row r="8775" spans="1:10" x14ac:dyDescent="0.3">
      <c r="A8775" t="s">
        <v>2162</v>
      </c>
      <c r="B8775" t="s">
        <v>2163</v>
      </c>
      <c r="C8775">
        <v>6</v>
      </c>
      <c r="D8775" t="s">
        <v>1447</v>
      </c>
      <c r="E8775" t="s">
        <v>2115</v>
      </c>
      <c r="F8775" t="s">
        <v>1791</v>
      </c>
      <c r="J8775" t="str">
        <f>IF(ISBLANK('Q 10'!$I152),"",IF('Q 10'!$I152="&lt;please select&gt;","",'Q 10'!$I152))</f>
        <v>See above</v>
      </c>
    </row>
    <row r="8776" spans="1:10" x14ac:dyDescent="0.3">
      <c r="A8776" t="s">
        <v>2162</v>
      </c>
      <c r="B8776" t="s">
        <v>2163</v>
      </c>
      <c r="C8776">
        <v>7</v>
      </c>
      <c r="D8776" t="s">
        <v>1447</v>
      </c>
      <c r="E8776" t="s">
        <v>2115</v>
      </c>
      <c r="F8776" t="s">
        <v>1791</v>
      </c>
      <c r="J8776" t="str">
        <f>IF(ISBLANK('Q 10'!$I153),"",IF('Q 10'!$I153="&lt;please select&gt;","",'Q 10'!$I153))</f>
        <v>See above</v>
      </c>
    </row>
    <row r="8777" spans="1:10" x14ac:dyDescent="0.3">
      <c r="A8777" t="s">
        <v>2162</v>
      </c>
      <c r="B8777" t="s">
        <v>2163</v>
      </c>
      <c r="C8777">
        <v>8</v>
      </c>
      <c r="D8777" t="s">
        <v>1447</v>
      </c>
      <c r="E8777" t="s">
        <v>2115</v>
      </c>
      <c r="F8777" t="s">
        <v>1791</v>
      </c>
      <c r="J8777" t="str">
        <f>IF(ISBLANK('Q 10'!$I154),"",IF('Q 10'!$I154="&lt;please select&gt;","",'Q 10'!$I154))</f>
        <v>See above</v>
      </c>
    </row>
    <row r="8778" spans="1:10" x14ac:dyDescent="0.3">
      <c r="A8778" t="s">
        <v>2162</v>
      </c>
      <c r="B8778" t="s">
        <v>2163</v>
      </c>
      <c r="C8778">
        <v>9</v>
      </c>
      <c r="D8778" t="s">
        <v>1447</v>
      </c>
      <c r="E8778" t="s">
        <v>2115</v>
      </c>
      <c r="F8778" t="s">
        <v>1791</v>
      </c>
      <c r="J8778" t="str">
        <f>IF(ISBLANK('Q 10'!$I155),"",IF('Q 10'!$I155="&lt;please select&gt;","",'Q 10'!$I155))</f>
        <v>See above</v>
      </c>
    </row>
    <row r="8779" spans="1:10" x14ac:dyDescent="0.3">
      <c r="A8779" t="s">
        <v>2162</v>
      </c>
      <c r="B8779" t="s">
        <v>2163</v>
      </c>
      <c r="C8779">
        <v>10</v>
      </c>
      <c r="D8779" t="s">
        <v>1447</v>
      </c>
      <c r="E8779" t="s">
        <v>2115</v>
      </c>
      <c r="F8779" t="s">
        <v>1791</v>
      </c>
      <c r="J8779" t="str">
        <f>IF(ISBLANK('Q 10'!$I156),"",IF('Q 10'!$I156="&lt;please select&gt;","",'Q 10'!$I156))</f>
        <v>See above</v>
      </c>
    </row>
    <row r="8780" spans="1:10" x14ac:dyDescent="0.3">
      <c r="A8780" t="s">
        <v>2162</v>
      </c>
      <c r="B8780" t="s">
        <v>2163</v>
      </c>
      <c r="C8780">
        <v>11</v>
      </c>
      <c r="D8780" t="s">
        <v>1447</v>
      </c>
      <c r="E8780" t="s">
        <v>2115</v>
      </c>
      <c r="F8780" t="s">
        <v>1791</v>
      </c>
      <c r="J8780" t="str">
        <f>IF(ISBLANK('Q 10'!$I157),"",IF('Q 10'!$I157="&lt;please select&gt;","",'Q 10'!$I157))</f>
        <v>See above</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Law No 536 of 27 April 2022 and Ordinance No 2134 of 21 December 2020</v>
      </c>
    </row>
    <row r="8790" spans="1:11" x14ac:dyDescent="0.3">
      <c r="A8790" t="s">
        <v>2165</v>
      </c>
      <c r="B8790" t="s">
        <v>2166</v>
      </c>
      <c r="C8790">
        <v>1</v>
      </c>
      <c r="D8790" t="s">
        <v>1447</v>
      </c>
      <c r="E8790" t="s">
        <v>2119</v>
      </c>
      <c r="F8790" t="s">
        <v>1737</v>
      </c>
      <c r="K8790" t="str">
        <f>IF(ISBLANK('Q 10'!$C171),"",IF('Q 10'!$C171="&lt;please select&gt;","",'Q 10'!$C171))</f>
        <v>Failure to submit a verified emission report by 31 March or earlier if the competent authority set an earlier deadline</v>
      </c>
    </row>
    <row r="8791" spans="1:11" x14ac:dyDescent="0.3">
      <c r="A8791" t="s">
        <v>2165</v>
      </c>
      <c r="B8791" t="s">
        <v>2166</v>
      </c>
      <c r="C8791">
        <v>2</v>
      </c>
      <c r="D8791" t="s">
        <v>1447</v>
      </c>
      <c r="E8791" t="s">
        <v>2119</v>
      </c>
      <c r="F8791" t="s">
        <v>1737</v>
      </c>
      <c r="K8791" t="str">
        <f>IF(ISBLANK('Q 10'!$C172),"",IF('Q 10'!$C172="&lt;please select&gt;","",'Q 10'!$C172))</f>
        <v>Excess allowances not returned by the aircraft operator despite the return being requested by the competent authority</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No</v>
      </c>
    </row>
    <row r="8843" spans="1:11" x14ac:dyDescent="0.3">
      <c r="A8843" t="s">
        <v>2165</v>
      </c>
      <c r="B8843" t="s">
        <v>2166</v>
      </c>
      <c r="C8843">
        <v>2</v>
      </c>
      <c r="D8843" t="s">
        <v>1447</v>
      </c>
      <c r="E8843" t="s">
        <v>2123</v>
      </c>
      <c r="F8843" t="s">
        <v>1759</v>
      </c>
      <c r="K8843" t="str">
        <f>IF(ISBLANK('Q 10'!$H172),"",IF('Q 10'!$H172="&lt;please select&gt;","",'Q 10'!$H172))</f>
        <v>Yes</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No</v>
      </c>
    </row>
    <row r="8856" spans="1:11" x14ac:dyDescent="0.3">
      <c r="A8856" t="s">
        <v>2165</v>
      </c>
      <c r="B8856" t="s">
        <v>2166</v>
      </c>
      <c r="C8856">
        <v>2</v>
      </c>
      <c r="D8856" t="s">
        <v>1447</v>
      </c>
      <c r="E8856" t="s">
        <v>2124</v>
      </c>
      <c r="F8856" t="s">
        <v>1759</v>
      </c>
      <c r="K8856" t="str">
        <f>IF(ISBLANK('Q 10'!$I172),"",IF('Q 10'!$I172="&lt;please select&gt;","",'Q 10'!$I172))</f>
        <v>No</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The following steps would be taken before requesting an operating ban from the comission:
1. Enforcing directive 2003/87/EC.
2. Sending a formal warning to the aircraft operator.
3. Issuing of penalty fines.
4. Publishing the names of aircraft operators that are not in compliance with Regulation (EU) 2018/2066 by 19/12/2018
5. Contact to the danish traffic authorities with the purpose of having the AOC withdrawed from the operator.</v>
      </c>
    </row>
    <row r="8918" spans="1:11" x14ac:dyDescent="0.3">
      <c r="A8918" t="s">
        <v>2174</v>
      </c>
      <c r="B8918" t="s">
        <v>2175</v>
      </c>
      <c r="C8918">
        <v>0</v>
      </c>
      <c r="D8918" t="s">
        <v>1447</v>
      </c>
      <c r="E8918" t="s">
        <v>2175</v>
      </c>
      <c r="F8918" t="s">
        <v>1741</v>
      </c>
      <c r="G8918" t="str">
        <f>IF(ISBLANK('Q 11'!$C$6),"",IF('Q 11'!$C$6="&lt;please select&gt;","",'Q 11'!$C$6))</f>
        <v>Please refer to 11.2 for the answer to this question</v>
      </c>
    </row>
    <row r="8919" spans="1:11" x14ac:dyDescent="0.3">
      <c r="A8919" t="s">
        <v>2176</v>
      </c>
      <c r="B8919" t="s">
        <v>2177</v>
      </c>
      <c r="C8919">
        <v>0</v>
      </c>
      <c r="D8919" t="s">
        <v>1447</v>
      </c>
      <c r="E8919" t="s">
        <v>2177</v>
      </c>
      <c r="F8919" t="s">
        <v>1741</v>
      </c>
      <c r="G8919" t="str">
        <f>IF(ISBLANK('Q 11'!$C$9),"",IF('Q 11'!$C$9="&lt;please select&gt;","",'Q 11'!$C$9))</f>
        <v>Emission allowances are taxed after the rules of business assets. Businesses, which receive free emission allowances, are exempted from taxation of the value of the emission allowance. Emission allowances can be sold in the same way as other assets and the profit is taxable. Profit is calculated as the difference between the sales price and the purchase price. The purchase price for an allocated free emission allowance is set to zero. Businesses, which buy emission allowances, can deduct the acquisition cost at the calculation of the taxable income, when the allowance is used. The deduction is given for the tax year where the allowance or part of the allowance is used in the production. In case of profit or loss at the sale of an emission allowance, the profit is taxable income. Profit or loss is calculated as the difference between the sales price and the purchase price. The purchase price is estimated as the price paid when the emission allowance was bought.</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CorpIncTax</v>
      </c>
    </row>
    <row r="8924" spans="1:11" x14ac:dyDescent="0.3">
      <c r="A8924" t="s">
        <v>2181</v>
      </c>
      <c r="B8924" t="s">
        <v>2183</v>
      </c>
      <c r="C8924">
        <v>2</v>
      </c>
      <c r="D8924" t="s">
        <v>1447</v>
      </c>
      <c r="E8924" t="s">
        <v>2184</v>
      </c>
      <c r="F8924" t="s">
        <v>1741</v>
      </c>
      <c r="G8924" t="str">
        <f>IF(ISBLANK('Q 11'!$C19),"",IF('Q 11'!$C19="&lt;please select&gt;","",'Q 11'!$C19))</f>
        <v>VAT</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22</v>
      </c>
    </row>
    <row r="8930" spans="1:7" x14ac:dyDescent="0.3">
      <c r="A8930" t="s">
        <v>2181</v>
      </c>
      <c r="B8930" t="s">
        <v>2183</v>
      </c>
      <c r="C8930">
        <v>2</v>
      </c>
      <c r="D8930" t="s">
        <v>1447</v>
      </c>
      <c r="E8930" t="s">
        <v>2185</v>
      </c>
      <c r="F8930" t="s">
        <v>1741</v>
      </c>
      <c r="G8930" t="str">
        <f>IF(ISBLANK('Q 11'!$G19),"",IF('Q 11'!$G19="&lt;please select&gt;","",'Q 11'!$G19))</f>
        <v>25</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No speciel arrangements has been imposed by the DEA, but if other operators, aircraft operators or third parties raise concerns over potentially fraudulent activity regarding the free allocation of allowances, the DEA will investigate the case.</v>
      </c>
    </row>
    <row r="8936" spans="1:7" x14ac:dyDescent="0.3">
      <c r="A8936" t="s">
        <v>2186</v>
      </c>
      <c r="B8936" t="s">
        <v>2187</v>
      </c>
      <c r="C8936">
        <v>2</v>
      </c>
      <c r="D8936" t="s">
        <v>1447</v>
      </c>
      <c r="E8936" t="s">
        <v>2188</v>
      </c>
      <c r="F8936" t="s">
        <v>1741</v>
      </c>
      <c r="G8936" t="str">
        <f>IF(ISBLANK('Q 12'!$G8),"",IF('Q 12'!$G8="&lt;please select&gt;","",'Q 12'!$G8))</f>
        <v>Yes</v>
      </c>
    </row>
    <row r="8937" spans="1:7" x14ac:dyDescent="0.3">
      <c r="A8937" t="s">
        <v>2186</v>
      </c>
      <c r="B8937" t="s">
        <v>2187</v>
      </c>
      <c r="C8937">
        <v>3</v>
      </c>
      <c r="D8937" t="s">
        <v>1447</v>
      </c>
      <c r="E8937" t="s">
        <v>2188</v>
      </c>
      <c r="F8937" t="s">
        <v>1741</v>
      </c>
      <c r="G8937" t="str">
        <f>IF(ISBLANK('Q 12'!$G9),"",IF('Q 12'!$G9="&lt;please select&gt;","",'Q 12'!$G9))</f>
        <v>The DEA and the National Administrator responsible for the union registry, are both responsible for the initiation of investigation procedures.</v>
      </c>
    </row>
    <row r="8938" spans="1:7" x14ac:dyDescent="0.3">
      <c r="A8938" t="s">
        <v>2186</v>
      </c>
      <c r="B8938" t="s">
        <v>2187</v>
      </c>
      <c r="C8938">
        <v>4</v>
      </c>
      <c r="D8938" t="s">
        <v>1447</v>
      </c>
      <c r="E8938" t="s">
        <v>2188</v>
      </c>
      <c r="F8938" t="s">
        <v>1741</v>
      </c>
      <c r="G8938" t="str">
        <f>IF(ISBLANK('Q 12'!$G10),"",IF('Q 12'!$G10="&lt;please select&gt;","",'Q 12'!$G10))</f>
        <v>Beside the ETS verification system, the DEA shall supervise compliance of operators and aircraft operators, cf. the Danish Act on CO2 Allowances, section 29. The DEA are carrying out control regarding the free allocation application and the yearly activity level regarding the free allocation.</v>
      </c>
    </row>
    <row r="8939" spans="1:7" x14ac:dyDescent="0.3">
      <c r="A8939" t="s">
        <v>2186</v>
      </c>
      <c r="B8939" t="s">
        <v>2187</v>
      </c>
      <c r="C8939">
        <v>5</v>
      </c>
      <c r="D8939" t="s">
        <v>1447</v>
      </c>
      <c r="E8939" t="s">
        <v>2188</v>
      </c>
      <c r="F8939" t="s">
        <v>1741</v>
      </c>
      <c r="G8939" t="str">
        <f>IF(ISBLANK('Q 12'!$G11),"",IF('Q 12'!$G11="&lt;please select&gt;","",'Q 12'!$G11))</f>
        <v>The allocation of free allowances in a given year is conditional upon the operator holding a valid emissions permit and permits required under other legislation, as well as on the correctness of the information notified by the operator of significance for the allocation, cf. the Danish Executive Order on CO2 Allowances, section 13 (1) - If the allocation of allowances is based on incorrect data or information, an adjustment of the allowance allocation may be carried out the following year, cf. the Danish Executive Order on CO2 Allowances, section 13 (2). - The DEA may decide that an operator who has been allocated allowances on the basis of incorrect data or information or if the conditions for this have otherwise not been met, shall return allowances corresponding to those incorrectly received, cf. the Danish Act on CO2 Allowances, section 19 (2). Offenders shall also be liable to a fine (unless more severe punishment fine and imprisonmment is incurred under other legislation) - omitting to notify matters of significance for the emissions permit and for the allocation of free allowances, cf. the Danish Excutive Order on CO2 Allowances, section 21 (1) no. 4 - failing to disclose information or provides incorrect or misleading information which is of significance for case processing by the authorities pursuant to the Act on CO2 Allowances, regulation issued pursuant to the Act or EU legislation pertaining to matters covered by the Act on CO2 Allowances, or which has an effect on the authorities decisions pursuant to the Act on CO2 Allowances, regulation issued pursuant to the Act or EU legislation pertaining to matters covered by the Act on CO2 Allowances, or which is of significance for fees management, cf. the Danish Act on CO2 Allowances, section 32 (1) no. 5, A fine will according to the Danish law on CO2-Allowances, Executive Orders pursuant to the Act and normal legal rules and principles in the Danish legal system be settled by court decision.</v>
      </c>
    </row>
    <row r="8940" spans="1:7" x14ac:dyDescent="0.3">
      <c r="A8940" t="s">
        <v>2186</v>
      </c>
      <c r="B8940" t="s">
        <v>2187</v>
      </c>
      <c r="C8940">
        <v>6</v>
      </c>
      <c r="D8940" t="s">
        <v>1447</v>
      </c>
      <c r="E8940" t="s">
        <v>2188</v>
      </c>
      <c r="F8940" t="s">
        <v>1741</v>
      </c>
      <c r="G8940" t="str">
        <f>IF(ISBLANK('Q 12'!$G12),"",IF('Q 12'!$G12="&lt;please select&gt;","",'Q 12'!$G12))</f>
        <v>A fine and imprisonmment will according to the Danish law on CO2-Allowances and normal legal rules and principles in the Danish legal system be settled by court decision. The maximum penalties is in imprisonment terms imprisonment up to 24 months, unless more severe punishment is incurred under other legislation, cf. section 32 of the Danish law on CO2-Allowances.</v>
      </c>
    </row>
    <row r="8941" spans="1:7" x14ac:dyDescent="0.3">
      <c r="A8941" t="s">
        <v>2189</v>
      </c>
      <c r="B8941" t="s">
        <v>2190</v>
      </c>
      <c r="C8941">
        <v>1</v>
      </c>
      <c r="D8941" t="s">
        <v>1447</v>
      </c>
      <c r="E8941" t="s">
        <v>2191</v>
      </c>
      <c r="F8941" t="s">
        <v>1741</v>
      </c>
      <c r="G8941" t="str">
        <f>IF(ISBLANK('Q 12'!$G17),"",IF('Q 12'!$G17="&lt;please select&gt;","",'Q 12'!$G17))</f>
        <v xml:space="preserve">The National Administrator conducts transactions analysis of all accounts. The frequency is based on a risk assessment. The tax authority has read only access to the registry, per law. If the NA suspects fraudulent activities, the NA (the Danish Business Authority) reports this to the Danish FIU, other relevant competent authorities, as well as the Danish Energy Agency. In that case the NA will provide the FIU information about the following: 1. Account holder and all account representatives 2. Account number of all involved accounts 3. Type of transaction(s) and 4. Number of units (emissions/credits) as well as any information required by the FIU. NA may suspend access to the account as permitted by the registry regulation, which may be extended at the request of the FIU. 
If the NA is informed about a court ruling or proceedings, which relates to an operator holding account or an aircraft operator holding account, the NA informs the competent authority and vice versa. 
Criminal cases would not be settled out of court.
As the NA is part of the Danish Business Authority, the NA has access to company information including suspicion of fraud and verdicts. Otherwise, criminal records shall be provided in the case of account representatives at least every five years.
</v>
      </c>
    </row>
    <row r="8942" spans="1:7" x14ac:dyDescent="0.3">
      <c r="A8942" t="s">
        <v>2189</v>
      </c>
      <c r="B8942" t="s">
        <v>2190</v>
      </c>
      <c r="C8942">
        <v>2</v>
      </c>
      <c r="D8942" t="s">
        <v>1447</v>
      </c>
      <c r="E8942" t="s">
        <v>2191</v>
      </c>
      <c r="F8942" t="s">
        <v>1741</v>
      </c>
      <c r="G8942" t="str">
        <f>IF(ISBLANK('Q 12'!$G18),"",IF('Q 12'!$G18="&lt;please select&gt;","",'Q 12'!$G18))</f>
        <v>See above</v>
      </c>
    </row>
    <row r="8943" spans="1:7" x14ac:dyDescent="0.3">
      <c r="A8943" t="s">
        <v>2189</v>
      </c>
      <c r="B8943" t="s">
        <v>2190</v>
      </c>
      <c r="C8943">
        <v>3</v>
      </c>
      <c r="D8943" t="s">
        <v>1447</v>
      </c>
      <c r="E8943" t="s">
        <v>2191</v>
      </c>
      <c r="F8943" t="s">
        <v>1741</v>
      </c>
      <c r="G8943" t="str">
        <f>IF(ISBLANK('Q 12'!$G19),"",IF('Q 12'!$G19="&lt;please select&gt;","",'Q 12'!$G19))</f>
        <v>See above</v>
      </c>
    </row>
    <row r="8944" spans="1:7" x14ac:dyDescent="0.3">
      <c r="A8944" t="s">
        <v>2189</v>
      </c>
      <c r="B8944" t="s">
        <v>2190</v>
      </c>
      <c r="C8944">
        <v>4</v>
      </c>
      <c r="D8944" t="s">
        <v>1447</v>
      </c>
      <c r="E8944" t="s">
        <v>2191</v>
      </c>
      <c r="F8944" t="s">
        <v>1741</v>
      </c>
      <c r="G8944" t="str">
        <f>IF(ISBLANK('Q 12'!$G20),"",IF('Q 12'!$G20="&lt;please select&gt;","",'Q 12'!$G20))</f>
        <v>See above</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Total emissions include emissions from fossil and biomass fuels as well as proces emissions.</v>
      </c>
    </row>
    <row r="8961" spans="1:10" x14ac:dyDescent="0.3">
      <c r="A8961" t="s">
        <v>2195</v>
      </c>
      <c r="B8961" t="s">
        <v>2196</v>
      </c>
      <c r="C8961">
        <v>13</v>
      </c>
      <c r="D8961" t="s">
        <v>1447</v>
      </c>
      <c r="E8961" t="s">
        <v>2197</v>
      </c>
      <c r="F8961" t="s">
        <v>1791</v>
      </c>
      <c r="J8961" t="str">
        <f>IF(ISBLANK('Q 13'!E19),"",IF('Q 13'!E19="&lt;please select&gt;","",'Q 13'!E19))</f>
        <v>Not filled because of no ocurences</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AO small emitters decided against using EUCTR SET this year due to significant overestimation of emissions(COVID &amp; less load) incurring higher costs compared to using method B and a formal verification</v>
      </c>
    </row>
    <row r="8973" spans="1:10" x14ac:dyDescent="0.3">
      <c r="A8973" t="s">
        <v>2195</v>
      </c>
      <c r="B8973" t="s">
        <v>2196</v>
      </c>
      <c r="C8973">
        <v>25</v>
      </c>
      <c r="D8973" t="s">
        <v>1447</v>
      </c>
      <c r="E8973" t="s">
        <v>2197</v>
      </c>
      <c r="F8973" t="s">
        <v>1791</v>
      </c>
      <c r="J8973" t="str">
        <f>IF(ISBLANK('Q 13'!E31),"",IF('Q 13'!E31="&lt;please select&gt;","",'Q 13'!E31))</f>
        <v>CA will kindly remind AOs if improvement reports are not forwarded before 30th June in acc. MRV Art.69 4.</v>
      </c>
    </row>
    <row r="8974" spans="1:10" x14ac:dyDescent="0.3">
      <c r="A8974" t="s">
        <v>2195</v>
      </c>
      <c r="B8974" t="s">
        <v>2196</v>
      </c>
      <c r="C8974">
        <v>26</v>
      </c>
      <c r="D8974" t="s">
        <v>1447</v>
      </c>
      <c r="E8974" t="s">
        <v>2197</v>
      </c>
      <c r="F8974" t="s">
        <v>1791</v>
      </c>
      <c r="J8974" t="str">
        <f>IF(ISBLANK('Q 13'!E32),"",IF('Q 13'!E32="&lt;please select&gt;","",'Q 13'!E32))</f>
        <v>Possible error in template, it is not possible to write 0 in the question "Number of aircraft operators that submitted an improvement report in practice".</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xml:space="preserve">6 Verifications where indeed performed virtually despite three specific CA warnings in this respect. Twice the verifier was informed and guided on the application of AVR art. 34 and its non-applicability in Denmark. Neither generic nor individual approval were given. The AVR workprogram indicated virtual site visits but, upon responce from CA, it was changed to only include visits performed as physically. Hence acc. AVR art. 73 a complaint has been forwarded by the CA to the NAB.  </v>
      </c>
    </row>
    <row r="8984" spans="1:10" x14ac:dyDescent="0.3">
      <c r="A8984" t="s">
        <v>2195</v>
      </c>
      <c r="B8984" t="s">
        <v>2196</v>
      </c>
      <c r="C8984">
        <v>36</v>
      </c>
      <c r="D8984" t="s">
        <v>1447</v>
      </c>
      <c r="E8984" t="s">
        <v>2197</v>
      </c>
      <c r="F8984" t="s">
        <v>1791</v>
      </c>
      <c r="J8984" t="str">
        <f>IF(ISBLANK('Q 13'!E42),"",IF('Q 13'!E42="&lt;please select&gt;","",'Q 13'!E42))</f>
        <v>Error in template. It is not possible to use two letter code for member states. The template only allows numbers, therefore the answer is submitted here:
Verifier accredited by a national accreditation body in another Member State that carried out verification in our Member State - member state of accreditation for installations: SWE.
Verifier accredited by a national accreditation body in another Member State that carried out verification in our Member State - member state of accreditation for installations: FR.</v>
      </c>
    </row>
    <row r="8985" spans="1:10" x14ac:dyDescent="0.3">
      <c r="A8985" t="s">
        <v>2195</v>
      </c>
      <c r="B8985" t="s">
        <v>2196</v>
      </c>
      <c r="C8985">
        <v>37</v>
      </c>
      <c r="D8985" t="s">
        <v>1447</v>
      </c>
      <c r="E8985" t="s">
        <v>2197</v>
      </c>
      <c r="F8985" t="s">
        <v>1791</v>
      </c>
      <c r="J8985" t="str">
        <f>IF(ISBLANK('Q 13'!E43),"",IF('Q 13'!E43="&lt;please select&gt;","",'Q 13'!E43))</f>
        <v>Questions regarding tonne-kilometer reports not filled because of no ocurences.</v>
      </c>
    </row>
    <row r="8986" spans="1:10" x14ac:dyDescent="0.3">
      <c r="A8986" t="s">
        <v>2195</v>
      </c>
      <c r="B8986" t="s">
        <v>2196</v>
      </c>
      <c r="C8986">
        <v>38</v>
      </c>
      <c r="D8986" t="s">
        <v>1447</v>
      </c>
      <c r="E8986" t="s">
        <v>2197</v>
      </c>
      <c r="F8986" t="s">
        <v>1791</v>
      </c>
      <c r="J8986" t="str">
        <f>IF(ISBLANK('Q 13'!E44),"",IF('Q 13'!E44="&lt;please select&gt;","",'Q 13'!E44))</f>
        <v>Questions regarding tonne-kilometer reports not filled because of no ocurences.</v>
      </c>
    </row>
    <row r="8987" spans="1:10" x14ac:dyDescent="0.3">
      <c r="A8987" t="s">
        <v>2195</v>
      </c>
      <c r="B8987" t="s">
        <v>2196</v>
      </c>
      <c r="C8987">
        <v>39</v>
      </c>
      <c r="D8987" t="s">
        <v>1447</v>
      </c>
      <c r="E8987" t="s">
        <v>2197</v>
      </c>
      <c r="F8987" t="s">
        <v>1791</v>
      </c>
      <c r="J8987" t="str">
        <f>IF(ISBLANK('Q 13'!E45),"",IF('Q 13'!E45="&lt;please select&gt;","",'Q 13'!E45))</f>
        <v>"Number of outstanding non-conformities for verifiers reported in the information exchange and the number that have been resolved": Last years article 21 report incorrectly stated 6 non-conformaties.</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Name off file attached: Executive_order_no._1637_of_november_18_2020_on_the_union_registry_and_the_danish_kyoto_registry.pdf</v>
      </c>
    </row>
    <row r="8996" spans="1:10" x14ac:dyDescent="0.3">
      <c r="A8996" t="s">
        <v>2195</v>
      </c>
      <c r="B8996" t="s">
        <v>2196</v>
      </c>
      <c r="C8996">
        <v>48</v>
      </c>
      <c r="D8996" t="s">
        <v>1447</v>
      </c>
      <c r="E8996" t="s">
        <v>2197</v>
      </c>
      <c r="F8996" t="s">
        <v>1791</v>
      </c>
      <c r="J8996" t="str">
        <f>IF(ISBLANK('Q 13'!E54),"",IF('Q 13'!E54="&lt;please select&gt;","",'Q 13'!E54))</f>
        <v>No ocurrences</v>
      </c>
    </row>
    <row r="8997" spans="1:10" x14ac:dyDescent="0.3">
      <c r="A8997" t="s">
        <v>2195</v>
      </c>
      <c r="B8997" t="s">
        <v>2196</v>
      </c>
      <c r="C8997">
        <v>49</v>
      </c>
      <c r="D8997" t="s">
        <v>1447</v>
      </c>
      <c r="E8997" t="s">
        <v>2197</v>
      </c>
      <c r="F8997" t="s">
        <v>1791</v>
      </c>
      <c r="J8997" t="str">
        <f>IF(ISBLANK('Q 13'!E55),"",IF('Q 13'!E55="&lt;please select&gt;","",'Q 13'!E55))</f>
        <v>Not applicable, no cases</v>
      </c>
    </row>
    <row r="8998" spans="1:10" x14ac:dyDescent="0.3">
      <c r="A8998" t="s">
        <v>2195</v>
      </c>
      <c r="B8998" t="s">
        <v>2196</v>
      </c>
      <c r="C8998">
        <v>50</v>
      </c>
      <c r="D8998" t="s">
        <v>1447</v>
      </c>
      <c r="E8998" t="s">
        <v>2197</v>
      </c>
      <c r="F8998" t="s">
        <v>1791</v>
      </c>
      <c r="J8998" t="str">
        <f>IF(ISBLANK('Q 13'!E56),"",IF('Q 13'!E56="&lt;please select&gt;","",'Q 13'!E56))</f>
        <v>Most issued verifications reports only referred to art. 31 and 32 with no further information on subparagraphs/points included in the verification reports. We will communicate the need to include specifics in this regard to verifiers and ensure that future verifications include these specificationss. We note a total of 55 installation for which the verifier waived the site visits.</v>
      </c>
    </row>
    <row r="8999" spans="1:10" x14ac:dyDescent="0.3">
      <c r="A8999" t="s">
        <v>2195</v>
      </c>
      <c r="B8999" t="s">
        <v>2196</v>
      </c>
      <c r="C8999">
        <v>51</v>
      </c>
      <c r="D8999" t="s">
        <v>1447</v>
      </c>
      <c r="E8999" t="s">
        <v>2197</v>
      </c>
      <c r="F8999" t="s">
        <v>1791</v>
      </c>
      <c r="J8999" t="str">
        <f>IF(ISBLANK('Q 13'!E57),"",IF('Q 13'!E57="&lt;please select&gt;","",'Q 13'!E57))</f>
        <v xml:space="preserve">We have not yet imposed sanctions after these regulations. ALC and MMP obligations entered into force since jan 1'st 2021, therefore operators who failed to submit the relevant reports did not recieve allowences.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xml:space="preserve">Annual fees are differentiated as follows: Installations who are recieving free allowances in category C: 14139 € (106043 DKK), B: 11040 € (82801 DKK), A: 7941 (59559 DKK), low emissions: 4842 (36316 DKK), installations that are not recieving free allowances: Installations in category C: 11912 € (89.338 DKK), B: 9151 € (68638 DKK), A: 6392 (47937 DKK), low emissions: 3632 (27237 DKK). Average fee charged 4.854 (36.408). This also applies to Q9.2. </v>
      </c>
    </row>
    <row r="9017" spans="1:10" x14ac:dyDescent="0.3">
      <c r="A9017" t="s">
        <v>2195</v>
      </c>
      <c r="B9017" t="s">
        <v>2196</v>
      </c>
      <c r="C9017">
        <v>69</v>
      </c>
      <c r="D9017" t="s">
        <v>1447</v>
      </c>
      <c r="E9017" t="s">
        <v>2197</v>
      </c>
      <c r="F9017" t="s">
        <v>1791</v>
      </c>
      <c r="J9017" t="str">
        <f>IF(ISBLANK('Q 13'!E75),"",IF('Q 13'!E75="&lt;please select&gt;","",'Q 13'!E75))</f>
        <v>Account fees established in Executive Order no. 1637 of 18 November 2020 12. The annual fee for having an account with the EU's ETS Registry is as follows: 1) DKK 5,250 for an operator holding account and DKK 0.20 per allocated free allowances. 2) DKK 5,250 for an aircraft operator holding account and DKK 0.20 per allocated free allowances. 3) DKK 3,600 for a verifier account. 4) DKK 5,250 for a trading account. 5) DKK 5,250 for a personal holding account. 6) DKK 2,910 for an auction delivery account. 7) DKK 13,950 for an external trading platform account. (2). The annual fee for having a personal holding account in The Danish Kyoto Registry is DKK 5,250. (3). The annual fee for keeping CO2 allowances or Kyoto units in a national holding account, cf. the regulation, Article 32 (1), is DKK 30,000. The fee is chargeable to the previous account holder. (4). The Danish Business Authority charges the fees once annually in the middle of the year. The fee is charged for the current calendar year for the accounts that are open and active on 1 July in that respective year, and they are charged regardless of whether the account is open for the full calendar year. 13. When setting up an account indicated in Section 12(1) point 3-7 and subsection (2) and (3), the Danish Business Authority charges a fee corresponding to the annual fee for the respective account type. The payment of the fee is a prerequisite for creating an account. The fee applies to the creation of the account as well as for the remaining part of this calendar year. (2). If a notification of account creation does not lead to the creation of an account, a fee shall not be paid. 14. Fees in accordance with Sections 12 and 13, as well as payment in accordance with Section 19(4), shall be due for payment by the date specified by the Danish Business Authority. (2). Payment of fees must take place using the collection method issued by Danish Business Authority. The Authority can reject other forms of payment, e.g. payment by cheque or cash. (3). In case of late payment, a reminder fee of DKK 100 will be charged to cover the costs of the Danish Business Authority in connection with the reminder procedure. If the account fee or the costs plus the reminder fee are still not paid, the fee or the costs will be sent to debt collection and the Danish Business Authority may close or suspend access to the account.</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xml:space="preserve">The operator has appealed the court decision. The appeal-proceedings are expected to be finalisied during 2023. </v>
      </c>
    </row>
    <row r="9020" spans="1:10" x14ac:dyDescent="0.3">
      <c r="A9020" t="s">
        <v>2195</v>
      </c>
      <c r="B9020" t="s">
        <v>2196</v>
      </c>
      <c r="C9020">
        <v>72</v>
      </c>
      <c r="D9020" t="s">
        <v>1447</v>
      </c>
      <c r="E9020" t="s">
        <v>2197</v>
      </c>
      <c r="F9020" t="s">
        <v>1791</v>
      </c>
      <c r="J9020" t="str">
        <f>IF(ISBLANK('Q 13'!E78),"",IF('Q 13'!E78="&lt;please select&gt;","",'Q 13'!E78))</f>
        <v>The aircraft operator went bankrupt during the reporting year. The estate admistrator was notified on obligations but due to lack of knowledge, didn't meet the reporting deadline. Due to national bankrupcy law, we are not imposing any penalties to the bankrupcy estate.</v>
      </c>
    </row>
    <row r="9021" spans="1:10" x14ac:dyDescent="0.3">
      <c r="A9021" t="s">
        <v>2195</v>
      </c>
      <c r="B9021" t="s">
        <v>2196</v>
      </c>
      <c r="C9021">
        <v>73</v>
      </c>
      <c r="D9021" t="s">
        <v>1447</v>
      </c>
      <c r="E9021" t="s">
        <v>2197</v>
      </c>
      <c r="F9021" t="s">
        <v>1791</v>
      </c>
      <c r="J9021" t="str">
        <f>IF(ISBLANK('Q 13'!E79),"",IF('Q 13'!E79="&lt;please select&gt;","",'Q 13'!E79))</f>
        <v>Not filled because of no ocurences</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5.6</v>
      </c>
    </row>
    <row r="9045" spans="1:11" x14ac:dyDescent="0.3">
      <c r="A9045" t="s">
        <v>2195</v>
      </c>
      <c r="B9045" t="s">
        <v>2196</v>
      </c>
      <c r="C9045">
        <v>13</v>
      </c>
      <c r="D9045" t="s">
        <v>1447</v>
      </c>
      <c r="E9045" t="s">
        <v>2198</v>
      </c>
      <c r="F9045" t="s">
        <v>1737</v>
      </c>
      <c r="K9045" t="str">
        <f>IF(ISBLANK('Q 13'!$D19),"",IF('Q 13'!$D19="&lt;please select&gt;","",'Q 13'!$D19))</f>
        <v>Question 5.9</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Question 5.21</v>
      </c>
    </row>
    <row r="9057" spans="1:11" x14ac:dyDescent="0.3">
      <c r="A9057" t="s">
        <v>2195</v>
      </c>
      <c r="B9057" t="s">
        <v>2196</v>
      </c>
      <c r="C9057">
        <v>25</v>
      </c>
      <c r="D9057" t="s">
        <v>1447</v>
      </c>
      <c r="E9057" t="s">
        <v>2198</v>
      </c>
      <c r="F9057" t="s">
        <v>1737</v>
      </c>
      <c r="K9057" t="str">
        <f>IF(ISBLANK('Q 13'!$D31),"",IF('Q 13'!$D31="&lt;please select&gt;","",'Q 13'!$D31))</f>
        <v>Question 5.22</v>
      </c>
    </row>
    <row r="9058" spans="1:11" x14ac:dyDescent="0.3">
      <c r="A9058" t="s">
        <v>2195</v>
      </c>
      <c r="B9058" t="s">
        <v>2196</v>
      </c>
      <c r="C9058">
        <v>26</v>
      </c>
      <c r="D9058" t="s">
        <v>1447</v>
      </c>
      <c r="E9058" t="s">
        <v>2198</v>
      </c>
      <c r="F9058" t="s">
        <v>1737</v>
      </c>
      <c r="K9058" t="str">
        <f>IF(ISBLANK('Q 13'!$D32),"",IF('Q 13'!$D32="&lt;please select&gt;","",'Q 13'!$D32))</f>
        <v>Question 5.22</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Question 6.12</v>
      </c>
    </row>
    <row r="9068" spans="1:11" x14ac:dyDescent="0.3">
      <c r="A9068" t="s">
        <v>2195</v>
      </c>
      <c r="B9068" t="s">
        <v>2196</v>
      </c>
      <c r="C9068">
        <v>36</v>
      </c>
      <c r="D9068" t="s">
        <v>1447</v>
      </c>
      <c r="E9068" t="s">
        <v>2198</v>
      </c>
      <c r="F9068" t="s">
        <v>1737</v>
      </c>
      <c r="K9068" t="str">
        <f>IF(ISBLANK('Q 13'!$D42),"",IF('Q 13'!$D42="&lt;please select&gt;","",'Q 13'!$D42))</f>
        <v>Question 6.1</v>
      </c>
    </row>
    <row r="9069" spans="1:11" x14ac:dyDescent="0.3">
      <c r="A9069" t="s">
        <v>2195</v>
      </c>
      <c r="B9069" t="s">
        <v>2196</v>
      </c>
      <c r="C9069">
        <v>37</v>
      </c>
      <c r="D9069" t="s">
        <v>1447</v>
      </c>
      <c r="E9069" t="s">
        <v>2198</v>
      </c>
      <c r="F9069" t="s">
        <v>1737</v>
      </c>
      <c r="K9069" t="str">
        <f>IF(ISBLANK('Q 13'!$D43),"",IF('Q 13'!$D43="&lt;please select&gt;","",'Q 13'!$D43))</f>
        <v>Question 6.9</v>
      </c>
    </row>
    <row r="9070" spans="1:11" x14ac:dyDescent="0.3">
      <c r="A9070" t="s">
        <v>2195</v>
      </c>
      <c r="B9070" t="s">
        <v>2196</v>
      </c>
      <c r="C9070">
        <v>38</v>
      </c>
      <c r="D9070" t="s">
        <v>1447</v>
      </c>
      <c r="E9070" t="s">
        <v>2198</v>
      </c>
      <c r="F9070" t="s">
        <v>1737</v>
      </c>
      <c r="K9070" t="str">
        <f>IF(ISBLANK('Q 13'!$D44),"",IF('Q 13'!$D44="&lt;please select&gt;","",'Q 13'!$D44))</f>
        <v>Question 6.10</v>
      </c>
    </row>
    <row r="9071" spans="1:11" x14ac:dyDescent="0.3">
      <c r="A9071" t="s">
        <v>2195</v>
      </c>
      <c r="B9071" t="s">
        <v>2196</v>
      </c>
      <c r="C9071">
        <v>39</v>
      </c>
      <c r="D9071" t="s">
        <v>1447</v>
      </c>
      <c r="E9071" t="s">
        <v>2198</v>
      </c>
      <c r="F9071" t="s">
        <v>1737</v>
      </c>
      <c r="K9071" t="str">
        <f>IF(ISBLANK('Q 13'!$D45),"",IF('Q 13'!$D45="&lt;please select&gt;","",'Q 13'!$D45))</f>
        <v>Question 6.2</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Question 7.1</v>
      </c>
    </row>
    <row r="9080" spans="1:11" x14ac:dyDescent="0.3">
      <c r="A9080" t="s">
        <v>2195</v>
      </c>
      <c r="B9080" t="s">
        <v>2196</v>
      </c>
      <c r="C9080">
        <v>48</v>
      </c>
      <c r="D9080" t="s">
        <v>1447</v>
      </c>
      <c r="E9080" t="s">
        <v>2198</v>
      </c>
      <c r="F9080" t="s">
        <v>1737</v>
      </c>
      <c r="K9080" t="str">
        <f>IF(ISBLANK('Q 13'!$D54),"",IF('Q 13'!$D54="&lt;please select&gt;","",'Q 13'!$D54))</f>
        <v>Question 7.2</v>
      </c>
    </row>
    <row r="9081" spans="1:11" x14ac:dyDescent="0.3">
      <c r="A9081" t="s">
        <v>2195</v>
      </c>
      <c r="B9081" t="s">
        <v>2196</v>
      </c>
      <c r="C9081">
        <v>49</v>
      </c>
      <c r="D9081" t="s">
        <v>1447</v>
      </c>
      <c r="E9081" t="s">
        <v>2198</v>
      </c>
      <c r="F9081" t="s">
        <v>1737</v>
      </c>
      <c r="K9081" t="str">
        <f>IF(ISBLANK('Q 13'!$D55),"",IF('Q 13'!$D55="&lt;please select&gt;","",'Q 13'!$D55))</f>
        <v>Question 7.3</v>
      </c>
    </row>
    <row r="9082" spans="1:11" x14ac:dyDescent="0.3">
      <c r="A9082" t="s">
        <v>2195</v>
      </c>
      <c r="B9082" t="s">
        <v>2196</v>
      </c>
      <c r="C9082">
        <v>50</v>
      </c>
      <c r="D9082" t="s">
        <v>1447</v>
      </c>
      <c r="E9082" t="s">
        <v>2198</v>
      </c>
      <c r="F9082" t="s">
        <v>1737</v>
      </c>
      <c r="K9082" t="str">
        <f>IF(ISBLANK('Q 13'!$D56),"",IF('Q 13'!$D56="&lt;please select&gt;","",'Q 13'!$D56))</f>
        <v>Question 8.15</v>
      </c>
    </row>
    <row r="9083" spans="1:11" x14ac:dyDescent="0.3">
      <c r="A9083" t="s">
        <v>2195</v>
      </c>
      <c r="B9083" t="s">
        <v>2196</v>
      </c>
      <c r="C9083">
        <v>51</v>
      </c>
      <c r="D9083" t="s">
        <v>1447</v>
      </c>
      <c r="E9083" t="s">
        <v>2198</v>
      </c>
      <c r="F9083" t="s">
        <v>1737</v>
      </c>
      <c r="K9083" t="str">
        <f>IF(ISBLANK('Q 13'!$D57),"",IF('Q 13'!$D57="&lt;please select&gt;","",'Q 13'!$D57))</f>
        <v>Question 8.17</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Question 9.1</v>
      </c>
    </row>
    <row r="9101" spans="1:11" x14ac:dyDescent="0.3">
      <c r="A9101" t="s">
        <v>2195</v>
      </c>
      <c r="B9101" t="s">
        <v>2196</v>
      </c>
      <c r="C9101">
        <v>69</v>
      </c>
      <c r="D9101" t="s">
        <v>1447</v>
      </c>
      <c r="E9101" t="s">
        <v>2198</v>
      </c>
      <c r="F9101" t="s">
        <v>1737</v>
      </c>
      <c r="K9101" t="str">
        <f>IF(ISBLANK('Q 13'!$D75),"",IF('Q 13'!$D75="&lt;please select&gt;","",'Q 13'!$D75))</f>
        <v>Question 9.3</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Question 10.3</v>
      </c>
    </row>
    <row r="9104" spans="1:11" x14ac:dyDescent="0.3">
      <c r="A9104" t="s">
        <v>2195</v>
      </c>
      <c r="B9104" t="s">
        <v>2196</v>
      </c>
      <c r="C9104">
        <v>72</v>
      </c>
      <c r="D9104" t="s">
        <v>1447</v>
      </c>
      <c r="E9104" t="s">
        <v>2198</v>
      </c>
      <c r="F9104" t="s">
        <v>1737</v>
      </c>
      <c r="K9104" t="str">
        <f>IF(ISBLANK('Q 13'!$D78),"",IF('Q 13'!$D78="&lt;please select&gt;","",'Q 13'!$D78))</f>
        <v>Question 10.7</v>
      </c>
    </row>
    <row r="9105" spans="1:11" x14ac:dyDescent="0.3">
      <c r="A9105" t="s">
        <v>2195</v>
      </c>
      <c r="B9105" t="s">
        <v>2196</v>
      </c>
      <c r="C9105">
        <v>73</v>
      </c>
      <c r="D9105" t="s">
        <v>1447</v>
      </c>
      <c r="E9105" t="s">
        <v>2198</v>
      </c>
      <c r="F9105" t="s">
        <v>1737</v>
      </c>
      <c r="K9105" t="str">
        <f>IF(ISBLANK('Q 13'!$D79),"",IF('Q 13'!$D79="&lt;please select&gt;","",'Q 13'!$D79))</f>
        <v>Question 10.8</v>
      </c>
    </row>
    <row r="9106" spans="1:11" x14ac:dyDescent="0.3">
      <c r="A9106" t="s">
        <v>2195</v>
      </c>
      <c r="B9106" t="s">
        <v>2196</v>
      </c>
      <c r="C9106">
        <v>74</v>
      </c>
      <c r="D9106" t="s">
        <v>1447</v>
      </c>
      <c r="E9106" t="s">
        <v>2198</v>
      </c>
      <c r="F9106" t="s">
        <v>1737</v>
      </c>
      <c r="K9106" t="str">
        <f>IF(ISBLANK('Q 13'!$D80),"",IF('Q 13'!$D80="&lt;please select&gt;","",'Q 13'!$D80))</f>
        <v>Question 10.9</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Danish Energy Agency, Centre for Energy Administration</v>
      </c>
      <c r="F5" s="244"/>
      <c r="G5" s="244"/>
      <c r="H5" s="244"/>
      <c r="I5" s="245"/>
    </row>
    <row r="6" spans="1:9" s="69" customFormat="1" ht="14.4" x14ac:dyDescent="0.3">
      <c r="A6" s="68"/>
      <c r="C6" s="251" t="s">
        <v>654</v>
      </c>
      <c r="D6" s="250"/>
      <c r="E6" s="243" t="str">
        <f>_xlfn.CONCAT(_xlfn.XLOOKUP("[S01_InstitutionDetails][0][ContactPersonName]",Submission!$O:$O,Submission!$H:$N,""))</f>
        <v>Lukas Matz Jensen</v>
      </c>
      <c r="F6" s="244"/>
      <c r="G6" s="244"/>
      <c r="H6" s="244"/>
      <c r="I6" s="245"/>
    </row>
    <row r="7" spans="1:9" s="69" customFormat="1" ht="14.4" x14ac:dyDescent="0.3">
      <c r="A7" s="68"/>
      <c r="C7" s="251" t="s">
        <v>655</v>
      </c>
      <c r="D7" s="250"/>
      <c r="E7" s="243" t="str">
        <f>_xlfn.CONCAT(_xlfn.XLOOKUP("[S01_InstitutionDetails][0][ContactPersonJobTitle]",Submission!$O:$O,Submission!$H:$N,""))</f>
        <v>Advisor</v>
      </c>
      <c r="F7" s="244"/>
      <c r="G7" s="244"/>
      <c r="H7" s="244"/>
      <c r="I7" s="245"/>
    </row>
    <row r="8" spans="1:9" s="69" customFormat="1" ht="14.4" x14ac:dyDescent="0.3">
      <c r="A8" s="68"/>
      <c r="C8" s="251" t="s">
        <v>656</v>
      </c>
      <c r="D8" s="250"/>
      <c r="E8" s="243" t="str">
        <f>_xlfn.CONCAT(_xlfn.XLOOKUP("[S01_InstitutionDetails][0][Address]",Submission!$O:$O,Submission!$H:$N,""))</f>
        <v>Niels Bohrs Vej 8D, DK-6700 Esbjerg, Denmark</v>
      </c>
      <c r="F8" s="244"/>
      <c r="G8" s="244"/>
      <c r="H8" s="244"/>
      <c r="I8" s="245"/>
    </row>
    <row r="9" spans="1:9" s="69" customFormat="1" ht="14.4" x14ac:dyDescent="0.3">
      <c r="A9" s="68"/>
      <c r="C9" s="251" t="s">
        <v>657</v>
      </c>
      <c r="D9" s="250"/>
      <c r="E9" s="246" t="str">
        <f>_xlfn.CONCAT(_xlfn.XLOOKUP("[S01_InstitutionDetails][0][InternationalTelephoneNumber]",Submission!$O:$O,Submission!$H:$N,""))</f>
        <v>+45 33 95 09 11</v>
      </c>
      <c r="F9" s="247"/>
      <c r="G9" s="247"/>
      <c r="H9" s="247"/>
      <c r="I9" s="248"/>
    </row>
    <row r="10" spans="1:9" s="69" customFormat="1" ht="14.4" x14ac:dyDescent="0.3">
      <c r="A10" s="68"/>
      <c r="C10" s="251" t="s">
        <v>658</v>
      </c>
      <c r="D10" s="250"/>
      <c r="E10" s="252" t="str">
        <f>_xlfn.CONCAT(_xlfn.XLOOKUP("[S01_InstitutionDetails][0][EMail]",Submission!$O:$O,Submission!$H:$N,""))</f>
        <v>lmzj@ens.dk</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Danish Energy Agency (Energistyrelsen)</v>
      </c>
      <c r="D7" s="72" t="str">
        <f>_xlfn.CONCAT(_xlfn.XLOOKUP("[S02_CompetentAuthority][1][CAAbbreviation]",Submission!$O:$O,Submission!$H:$N,""))</f>
        <v>DEA (ENS)</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+45 33 92 67 00</v>
      </c>
      <c r="H7" s="83" t="str">
        <f>_xlfn.CONCAT(_xlfn.XLOOKUP("[S02_CompetentAuthority][1][CAEmail]",Submission!$O:$O,Submission!$H:$N,""))</f>
        <v>ens@ens.dk</v>
      </c>
      <c r="I7" s="72" t="str">
        <f>_xlfn.CONCAT(_xlfn.XLOOKUP("[S02_CompetentAuthority][1][CAWebsite]",Submission!$O:$O,Submission!$H:$N,""))</f>
        <v>www.ens.dk</v>
      </c>
      <c r="J7" s="79"/>
    </row>
    <row r="8" spans="1:11" s="58" customFormat="1" ht="15.9" customHeight="1" x14ac:dyDescent="0.3">
      <c r="B8" s="79"/>
      <c r="C8" s="71" t="str">
        <f>_xlfn.CONCAT(_xlfn.XLOOKUP("[S02_CompetentAuthority][2][CAName]",Submission!$O:$O,Submission!$H:$N,""))</f>
        <v/>
      </c>
      <c r="D8" s="72" t="str">
        <f>_xlfn.CONCAT(_xlfn.XLOOKUP("[S02_CompetentAuthority][2][CAAbbreviation]",Submission!$O:$O,Submission!$H:$N,""))</f>
        <v/>
      </c>
      <c r="E8" s="72" t="str">
        <f>_xlfn.CONCAT(_xlfn.XLOOKUP("[S02_CompetentAuthority][2][CAType]",Submission!$O:$O,Submission!$H:$N,""))</f>
        <v/>
      </c>
      <c r="F8" s="105" t="str">
        <f>_xlfn.CONCAT(_xlfn.XLOOKUP("[S02_CompetentAuthority][2][CANumber]",Submission!$O:$O,Submission!$H:$N,""))</f>
        <v/>
      </c>
      <c r="G8" s="177" t="str">
        <f>_xlfn.CONCAT(_xlfn.XLOOKUP("[S02_CompetentAuthority][2][CATelephone]",Submission!$O:$O,Submission!$H:$N,""))</f>
        <v/>
      </c>
      <c r="H8" s="83" t="str">
        <f>_xlfn.CONCAT(_xlfn.XLOOKUP("[S02_CompetentAuthority][2][CAEmail]",Submission!$O:$O,Submission!$H:$N,""))</f>
        <v/>
      </c>
      <c r="I8" s="72" t="str">
        <f>_xlfn.CONCAT(_xlfn.XLOOKUP("[S02_CompetentAuthority][2][CAWebsite]",Submission!$O:$O,Submission!$H:$N,""))</f>
        <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7"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The Danish Accreditation Fund (Den Danske Akkrediteringsfond)</v>
      </c>
      <c r="D39" s="289"/>
      <c r="E39" s="72" t="str">
        <f>_xlfn.CONCAT(_xlfn.XLOOKUP("[S02_AccreditationBody][1][AccBodyAbbreviation]",Submission!$O:$O,Submission!$H:$N,""))</f>
        <v>DANAK</v>
      </c>
      <c r="F39" s="177" t="str">
        <f>_xlfn.CONCAT(_xlfn.XLOOKUP("[S02_AccreditationBody][1][AccBodyTelephone]",Submission!$O:$O,Submission!$H:$N,""))</f>
        <v>+45 77 33 95 00</v>
      </c>
      <c r="G39" s="77" t="str">
        <f>_xlfn.CONCAT(_xlfn.XLOOKUP("[S02_AccreditationBody][1][AccBodyEmail]",Submission!$O:$O,Submission!$H:$N,""))</f>
        <v>danak@danak.dk</v>
      </c>
      <c r="H39" s="292" t="str">
        <f>_xlfn.CONCAT(_xlfn.XLOOKUP("[S02_AccreditationBody][1][AccBodyWebsite]",Submission!$O:$O,Submission!$H:$N,""))</f>
        <v>www.danak.dk</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Danish Business Authority, The EU ETS Registry (Erhvervsstyrelsen, CO2-kvoteregister)</v>
      </c>
      <c r="D49" s="289"/>
      <c r="E49" s="72" t="str">
        <f>_xlfn.CONCAT(_xlfn.XLOOKUP("[S02_RegistryAdministrator][1][RegAdminAbbreviation]",Submission!$O:$O,Submission!$H:$N,""))</f>
        <v>DBA</v>
      </c>
      <c r="F49" s="177" t="str">
        <f>_xlfn.CONCAT(_xlfn.XLOOKUP("[S02_RegistryAdministrator][1][RegAdminTelephone]",Submission!$O:$O,Submission!$H:$N,""))</f>
        <v>+45 35 29 10 00</v>
      </c>
      <c r="G49" s="77" t="str">
        <f>_xlfn.CONCAT(_xlfn.XLOOKUP("[S02_RegistryAdministrator][1][RegAdminEmail]",Submission!$O:$O,Submission!$H:$N,""))</f>
        <v>co2register@erst.dk</v>
      </c>
      <c r="H49" s="292" t="str">
        <f>_xlfn.CONCAT(_xlfn.XLOOKUP("[S02_RegistryAdministrator][1][RegAdminWebsite]",Submission!$O:$O,Submission!$H:$N,""))</f>
        <v>https://danishbusinessauthority.dk/eu-ets-registry-and-danish-kyoto-registry</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DEA (ENS)</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DEA (ENS)</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DEA (ENS)</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DEA (ENS)</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DEA (ENS)</v>
      </c>
      <c r="I58" s="256"/>
    </row>
    <row r="59" spans="1:9" s="79" customFormat="1" ht="28.95" customHeight="1" x14ac:dyDescent="0.3">
      <c r="A59" s="78"/>
      <c r="C59" s="251" t="s">
        <v>691</v>
      </c>
      <c r="D59" s="272"/>
      <c r="E59" s="273"/>
      <c r="F59" s="255" t="str">
        <f>_xlfn.CONCAT(_xlfn.XLOOKUP("[S02_CompetentAuthorityRoles][6][CAForInstallationTask]",Submission!$O:$O,Submission!$H:$N,""))</f>
        <v>DEA (ENS)</v>
      </c>
      <c r="G59" s="256"/>
      <c r="H59" s="255" t="str">
        <f>_xlfn.CONCAT(_xlfn.XLOOKUP("[S02_CompetentAuthorityRoles][6][CAForAviationTask]",Submission!$O:$O,Submission!$H:$N,""))</f>
        <v>DEA (ENS)</v>
      </c>
      <c r="I59" s="256"/>
    </row>
    <row r="60" spans="1:9" s="79" customFormat="1" ht="28.95" customHeight="1" x14ac:dyDescent="0.3">
      <c r="A60" s="78"/>
      <c r="C60" s="251" t="s">
        <v>42</v>
      </c>
      <c r="D60" s="272"/>
      <c r="E60" s="273"/>
      <c r="F60" s="255" t="str">
        <f>_xlfn.CONCAT(_xlfn.XLOOKUP("[S02_CompetentAuthorityRoles][7][CAForInstallationTask]",Submission!$O:$O,Submission!$H:$N,""))</f>
        <v>DEA (ENS)</v>
      </c>
      <c r="G60" s="256"/>
      <c r="H60" s="255" t="str">
        <f>_xlfn.CONCAT(_xlfn.XLOOKUP("[S02_CompetentAuthorityRoles][7][CAForAviationTask]",Submission!$O:$O,Submission!$H:$N,""))</f>
        <v>DEA (ENS)</v>
      </c>
      <c r="I60" s="256"/>
    </row>
    <row r="61" spans="1:9" s="79" customFormat="1" ht="28.95" customHeight="1" x14ac:dyDescent="0.3">
      <c r="A61" s="78"/>
      <c r="C61" s="251" t="s">
        <v>692</v>
      </c>
      <c r="D61" s="272"/>
      <c r="E61" s="273"/>
      <c r="F61" s="255" t="str">
        <f>_xlfn.CONCAT(_xlfn.XLOOKUP("[S02_CompetentAuthorityRoles][8][CAForInstallationTask]",Submission!$O:$O,Submission!$H:$N,""))</f>
        <v>DEA (ENS)</v>
      </c>
      <c r="G61" s="256"/>
      <c r="H61" s="255" t="str">
        <f>_xlfn.CONCAT(_xlfn.XLOOKUP("[S02_CompetentAuthorityRoles][8][CAForAviationTask]",Submission!$O:$O,Submission!$H:$N,""))</f>
        <v>DEA (ENS)</v>
      </c>
      <c r="I61" s="256"/>
    </row>
    <row r="62" spans="1:9" s="79" customFormat="1" ht="28.95" customHeight="1" x14ac:dyDescent="0.3">
      <c r="A62" s="78"/>
      <c r="C62" s="251" t="s">
        <v>693</v>
      </c>
      <c r="D62" s="272"/>
      <c r="E62" s="273"/>
      <c r="F62" s="255" t="str">
        <f>_xlfn.CONCAT(_xlfn.XLOOKUP("[S02_CompetentAuthorityRoles][9][CAForInstallationTask]",Submission!$O:$O,Submission!$H:$N,""))</f>
        <v>DEA (ENS)</v>
      </c>
      <c r="G62" s="256"/>
      <c r="H62" s="255" t="str">
        <f>_xlfn.CONCAT(_xlfn.XLOOKUP("[S02_CompetentAuthorityRoles][9][CAForAviationTask]",Submission!$O:$O,Submission!$H:$N,""))</f>
        <v>DEA (ENS)</v>
      </c>
      <c r="I62" s="256"/>
    </row>
    <row r="63" spans="1:9" s="79" customFormat="1" ht="28.95" customHeight="1" x14ac:dyDescent="0.3">
      <c r="A63" s="78"/>
      <c r="C63" s="251" t="s">
        <v>694</v>
      </c>
      <c r="D63" s="272"/>
      <c r="E63" s="273"/>
      <c r="F63" s="255" t="str">
        <f>_xlfn.CONCAT(_xlfn.XLOOKUP("[S02_CompetentAuthorityRoles][10][CAForInstallationTask]",Submission!$O:$O,Submission!$H:$N,""))</f>
        <v>DEA (ENS)</v>
      </c>
      <c r="G63" s="256"/>
      <c r="H63" s="255" t="str">
        <f>_xlfn.CONCAT(_xlfn.XLOOKUP("[S02_CompetentAuthorityRoles][10][CAForAviationTask]",Submission!$O:$O,Submission!$H:$N,""))</f>
        <v>DEA (ENS)</v>
      </c>
      <c r="I63" s="256"/>
    </row>
    <row r="64" spans="1:9" s="79" customFormat="1" ht="28.95" customHeight="1" x14ac:dyDescent="0.3">
      <c r="A64" s="78"/>
      <c r="C64" s="251" t="s">
        <v>46</v>
      </c>
      <c r="D64" s="272"/>
      <c r="E64" s="273"/>
      <c r="F64" s="255" t="str">
        <f>_xlfn.CONCAT(_xlfn.XLOOKUP("[S02_CompetentAuthorityRoles][11][CAForInstallationTask]",Submission!$O:$O,Submission!$H:$N,""))</f>
        <v>DEA (ENS)</v>
      </c>
      <c r="G64" s="256"/>
      <c r="H64" s="255" t="str">
        <f>_xlfn.CONCAT(_xlfn.XLOOKUP("[S02_CompetentAuthorityRoles][11][CAForAviationTask]",Submission!$O:$O,Submission!$H:$N,""))</f>
        <v>DEA (ENS)</v>
      </c>
      <c r="I64" s="256"/>
    </row>
    <row r="65" spans="1:9" s="79" customFormat="1" ht="28.95" customHeight="1" x14ac:dyDescent="0.3">
      <c r="A65" s="78"/>
      <c r="C65" s="251" t="s">
        <v>695</v>
      </c>
      <c r="D65" s="272"/>
      <c r="E65" s="273"/>
      <c r="F65" s="255" t="str">
        <f>_xlfn.CONCAT(_xlfn.XLOOKUP("[S02_CompetentAuthorityRoles][12][CAForInstallationTask]",Submission!$O:$O,Submission!$H:$N,""))</f>
        <v>DEA (ENS)</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DEA (ENS)</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Danish Energy Agency (Energistyrelsen)</v>
      </c>
      <c r="D82" s="254"/>
      <c r="E82" s="254"/>
      <c r="F82" s="254"/>
      <c r="G82" s="254" t="str">
        <f>_xlfn.CONCAT(_xlfn.XLOOKUP("[S02_CAFocalPoint][0][CAArt70Abbrev]",Submission!$O:$O,Submission!$H:$N,""))</f>
        <v>DEA (ENS)</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
      </c>
      <c r="H90" s="258" t="str">
        <f>_xlfn.CONCAT(_xlfn.XLOOKUP("[S02_CompetentAuthorityCoordination][5][CACoordinationComment]",Submission!$O:$O,Submission!$H:$N,""))</f>
        <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Yes</v>
      </c>
      <c r="H100" s="274" t="str">
        <f>_xlfn.CONCAT(_xlfn.XLOOKUP("[S02_InformationExchangeAccBodyAndCA][1][InfoExchangeComment]",Submission!$O:$O,Submission!$H:$N,""))</f>
        <v>At least once a year</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Yes</v>
      </c>
      <c r="H101" s="274" t="str">
        <f>_xlfn.CONCAT(_xlfn.XLOOKUP("[S02_InformationExchangeAccBodyAndCA][2][InfoExchangeComment]",Submission!$O:$O,Submission!$H:$N,""))</f>
        <v>Meetings with the verifiers and DANAK are held once a year and when needed</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310</v>
      </c>
      <c r="H7" s="305"/>
      <c r="I7" s="306"/>
    </row>
    <row r="8" spans="1:9" s="7" customFormat="1" ht="15" customHeight="1" x14ac:dyDescent="0.3">
      <c r="A8" s="8"/>
      <c r="C8" s="301" t="s">
        <v>727</v>
      </c>
      <c r="D8" s="302"/>
      <c r="E8" s="302"/>
      <c r="F8" s="303"/>
      <c r="G8" s="304" t="str">
        <f>_xlfn.CONCAT(_xlfn.XLOOKUP("[S03_EmittingInstallations][2][NumberOfInstallations]",Submission!$O:$O,Submission!$H:$N,""))</f>
        <v>274</v>
      </c>
      <c r="H8" s="305"/>
      <c r="I8" s="306"/>
    </row>
    <row r="9" spans="1:9" s="7" customFormat="1" ht="15" customHeight="1" x14ac:dyDescent="0.3">
      <c r="A9" s="8"/>
      <c r="C9" s="301" t="s">
        <v>728</v>
      </c>
      <c r="D9" s="302"/>
      <c r="E9" s="302"/>
      <c r="F9" s="303"/>
      <c r="G9" s="304" t="str">
        <f>_xlfn.CONCAT(_xlfn.XLOOKUP("[S03_EmittingInstallations][3][NumberOfInstallations]",Submission!$O:$O,Submission!$H:$N,""))</f>
        <v>30</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6</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252</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Yes</v>
      </c>
      <c r="I28" s="300"/>
    </row>
    <row r="29" spans="3:9" s="11" customFormat="1" ht="14.4" x14ac:dyDescent="0.3">
      <c r="C29" s="296" t="s">
        <v>747</v>
      </c>
      <c r="D29" s="297"/>
      <c r="E29" s="297"/>
      <c r="F29" s="297"/>
      <c r="G29" s="298"/>
      <c r="H29" s="299" t="str">
        <f>_xlfn.CONCAT(_xlfn.XLOOKUP("[S03_ActivityPermits][15][ActivityPermitsIssued]",Submission!$O:$O,Submission!$H:$N,""))</f>
        <v>Yes</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No</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No</v>
      </c>
      <c r="I37" s="300"/>
    </row>
    <row r="38" spans="1:9" s="11" customFormat="1" ht="15" x14ac:dyDescent="0.3">
      <c r="C38" s="296" t="s">
        <v>756</v>
      </c>
      <c r="D38" s="297"/>
      <c r="E38" s="297"/>
      <c r="F38" s="297"/>
      <c r="G38" s="298"/>
      <c r="H38" s="299" t="str">
        <f>_xlfn.CONCAT(_xlfn.XLOOKUP("[S03_ActivityPermits][24][ActivityPermitsIssued]",Submission!$O:$O,Submission!$H:$N,""))</f>
        <v>No</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6</v>
      </c>
      <c r="H64" s="132" t="str">
        <f>_xlfn.CONCAT(_xlfn.XLOOKUP("[S03_AircraftAnnex1Activities][1][NumberNonCommercialOperators]",Submission!$O:$O,Submission!$H:$N,""))</f>
        <v>0</v>
      </c>
      <c r="I64" s="132" t="str">
        <f>_xlfn.CONCAT(_xlfn.XLOOKUP("[S03_AircraftAnnex1Activities][1][NumberTotalOperators]",Submission!$O:$O,Submission!$H:$N,""))</f>
        <v>6</v>
      </c>
    </row>
    <row r="65" spans="3:9" ht="15.9" customHeight="1" x14ac:dyDescent="0.3">
      <c r="C65" s="322" t="s">
        <v>782</v>
      </c>
      <c r="D65" s="323"/>
      <c r="E65" s="323"/>
      <c r="F65" s="324"/>
      <c r="G65" s="132" t="str">
        <f>_xlfn.CONCAT(_xlfn.XLOOKUP("[S03_AircraftAnnex1Activities][2][NumberCommercialOperators]",Submission!$O:$O,Submission!$H:$N,""))</f>
        <v>2</v>
      </c>
      <c r="H65" s="132" t="str">
        <f>_xlfn.CONCAT(_xlfn.XLOOKUP("[S03_AircraftAnnex1Activities][2][NumberNonCommercialOperators]",Submission!$O:$O,Submission!$H:$N,""))</f>
        <v>0</v>
      </c>
      <c r="I65" s="132" t="str">
        <f>_xlfn.CONCAT(_xlfn.XLOOKUP("[S03_AircraftAnnex1Activities][2][NumberTotalOperators]",Submission!$O:$O,Submission!$H:$N,""))</f>
        <v>2</v>
      </c>
    </row>
    <row r="66" spans="3:9" ht="15.9" customHeight="1" x14ac:dyDescent="0.3">
      <c r="C66" s="322" t="s">
        <v>780</v>
      </c>
      <c r="D66" s="323"/>
      <c r="E66" s="323"/>
      <c r="F66" s="324"/>
      <c r="G66" s="132" t="str">
        <f>_xlfn.CONCAT(_xlfn.XLOOKUP("[S03_AircraftAnnex1Activities][3][NumberCommercialOperators]",Submission!$O:$O,Submission!$H:$N,""))</f>
        <v>8</v>
      </c>
      <c r="H66" s="132" t="str">
        <f>_xlfn.CONCAT(_xlfn.XLOOKUP("[S03_AircraftAnnex1Activities][3][NumberNonCommercialOperators]",Submission!$O:$O,Submission!$H:$N,""))</f>
        <v>0</v>
      </c>
      <c r="I66" s="132" t="str">
        <f>_xlfn.CONCAT(_xlfn.XLOOKUP("[S03_AircraftAnnex1Activities][3][NumberTotalOperators]",Submission!$O:$O,Submission!$H:$N,""))</f>
        <v>8</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No</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Yes</v>
      </c>
      <c r="H15" s="258" t="str">
        <f>_xlfn.CONCAT(_xlfn.XLOOKUP("[S04_IEDProcedureRequirementsIntegratedYes][8][IntegrationComments]",Submission!$O:$O,Submission!$H:$N,""))</f>
        <v>Coordination between the DEA and the Danish Environmental Protection Agency: The Danish Energy Agency has agreed with the Environmental Protection Agency that the agency – on a regularly basis - will forward a list including the names of installations holding an IED-permit and thereby enable the Danish Energy Agency to compare it with the list of ETS-installations. Furthermore, there is no emission limit value for direct emissions of the greenhouse gases specified in the IED-permit.</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A permit may be revoked: - When an installation no longer is covered of the annex I activities, - if the operator is guilty of gross or repeated violation of the provisions of the Danish Act on CO2 Allowances, of regulations issued pursuant to the Act on CO2 Allowances, of any EU legislation pertaining to matters covered by the Act on CO2 Allowances, or of the terms of the permit (only by court decision), - If the operator is not deemed to be able to fulfill his obligations under the Danish Act on CO2 Allowances in a fully justified manner , -or has a debt due to the public of more than DKK 100,000, cf. section 16 of the Danish Act on CO2-Allowance.</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Capacity changes should be reported in the monitoring plan without undue delay. When the DEA approves the monitoring plan, the operator also receive the permit. The permit and the approval of the monitoring plan is the same document.</v>
      </c>
      <c r="H21" s="349"/>
      <c r="I21" s="350"/>
    </row>
    <row r="22" spans="1:9" ht="15.9" customHeight="1" x14ac:dyDescent="0.3">
      <c r="C22" s="301" t="s">
        <v>136</v>
      </c>
      <c r="D22" s="332"/>
      <c r="E22" s="332"/>
      <c r="F22" s="347"/>
      <c r="G22" s="348" t="str">
        <f>_xlfn.CONCAT(_xlfn.XLOOKUP("[S04_NationalLawPermitUpdate][4][PermitUpdateNationalLawDetail]",Submission!$O:$O,Submission!$H:$N,""))</f>
        <v>When the DEA approves the monitoring plan, the operator also receive the permit. The permit and the approval of the monitoring plan is the same document.</v>
      </c>
      <c r="H22" s="349"/>
      <c r="I22" s="350"/>
    </row>
    <row r="23" spans="1:9" ht="15.9" customHeight="1" x14ac:dyDescent="0.3">
      <c r="C23" s="301" t="s">
        <v>138</v>
      </c>
      <c r="D23" s="332"/>
      <c r="E23" s="332"/>
      <c r="F23" s="347"/>
      <c r="G23" s="348" t="str">
        <f>_xlfn.CONCAT(_xlfn.XLOOKUP("[S04_NationalLawPermitUpdate][5][PermitUpdateNationalLawDetail]",Submission!$O:$O,Submission!$H:$N,""))</f>
        <v>The permit and the approval of the monitoring plan is the same document.</v>
      </c>
      <c r="H23" s="349"/>
      <c r="I23" s="350"/>
    </row>
    <row r="24" spans="1:9" ht="15.9" customHeight="1" x14ac:dyDescent="0.3">
      <c r="C24" s="301" t="s">
        <v>798</v>
      </c>
      <c r="D24" s="332"/>
      <c r="E24" s="332"/>
      <c r="F24" s="347"/>
      <c r="G24" s="348" t="str">
        <f>_xlfn.CONCAT(_xlfn.XLOOKUP("[S04_NationalLawPermitUpdate][6][PermitUpdateNationalLawDetail]",Submission!$O:$O,Submission!$H:$N,""))</f>
        <v>When an installation changes operator, the permit can be handed over to the new operator upon approval of the DEA</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152</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Yes</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Order on sustainability, etc. of biofuels and bioliquids used for activities covered by the Act on CO2 allowances (no. 1619 of 15/12/2016) including requirements on documentation for sustainability.</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Yes</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Guidance regarding the ETS scheme is on the DEA's website (https://ens.dk/ansvarsomraader/co2-kvoter). The web page holds general information and links to guidance material on the Climate Action web page. For installations supporting papers have been developed, e.g. on biomass issues, thermal input and control activities</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The ETS reporting is also used for the greenhouse gas (GHG) inventory reporting. The staff involved in GHG inventory reporting receive the data in excel sheets and reports.</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The ETS reportings are also used for the Annual Energy Statistics.</v>
      </c>
      <c r="I17" s="394"/>
    </row>
    <row r="18" spans="1:9" s="58" customFormat="1" ht="32.4" customHeight="1" x14ac:dyDescent="0.3">
      <c r="C18" s="382" t="s">
        <v>817</v>
      </c>
      <c r="D18" s="382"/>
      <c r="E18" s="382"/>
      <c r="F18" s="382"/>
      <c r="G18" s="47" t="str">
        <f>_xlfn.CONCAT(_xlfn.XLOOKUP("[MeasuresStreamline][3][MeasuresStreamlineYesNo]",Submission!$O:$O,Submission!$H:$N,""))</f>
        <v>No</v>
      </c>
      <c r="H18" s="394" t="str">
        <f>_xlfn.CONCAT(_xlfn.XLOOKUP("[MeasuresStreamline][3][MeasuresStreamlineComments]",Submission!$O:$O,Submission!$H:$N,""))</f>
        <v>We are currently actively working on creating a structured coordination between the danish authorities responsible E-PRTR and the DEA</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Yes</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No</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Member State specific template</v>
      </c>
      <c r="G28" s="364"/>
      <c r="H28" s="388" t="str">
        <f>_xlfn.CONCAT(_xlfn.XLOOKUP("[S05_MSCustomisedTemplatesMRR1][1][HowTemplateSpecific]",Submission!$O:$O,Submission!$H:$N,""))</f>
        <v>An online application with the content of Commission template has been developed. Installations using measurement-based methodology are using the Commissions template.</v>
      </c>
      <c r="I28" s="388"/>
    </row>
    <row r="29" spans="1:9" ht="15.9" customHeight="1" x14ac:dyDescent="0.3">
      <c r="C29" s="251" t="s">
        <v>828</v>
      </c>
      <c r="D29" s="257"/>
      <c r="E29" s="250"/>
      <c r="F29" s="274" t="str">
        <f>_xlfn.CONCAT(_xlfn.XLOOKUP("[S05_MSCustomisedTemplatesMRR1][2][SpecificTemplateOrFileFormat]",Submission!$O:$O,Submission!$H:$N,""))</f>
        <v>Member State specific template</v>
      </c>
      <c r="G29" s="364"/>
      <c r="H29" s="388" t="str">
        <f>_xlfn.CONCAT(_xlfn.XLOOKUP("[S05_MSCustomisedTemplatesMRR1][2][HowTemplateSpecific]",Submission!$O:$O,Submission!$H:$N,""))</f>
        <v>An online application with the content of Commission template has been developed. Installations using measurement-based methodolgy are using the Comissions templeate.</v>
      </c>
      <c r="I29" s="388"/>
    </row>
    <row r="30" spans="1:9" ht="15.9" customHeight="1" x14ac:dyDescent="0.3">
      <c r="C30" s="251" t="s">
        <v>829</v>
      </c>
      <c r="D30" s="257"/>
      <c r="E30" s="250"/>
      <c r="F30" s="274" t="str">
        <f>_xlfn.CONCAT(_xlfn.XLOOKUP("[S05_MSCustomisedTemplatesMRR1][3][SpecificTemplateOrFileFormat]",Submission!$O:$O,Submission!$H:$N,""))</f>
        <v>Member State specific template</v>
      </c>
      <c r="G30" s="364"/>
      <c r="H30" s="388" t="str">
        <f>_xlfn.CONCAT(_xlfn.XLOOKUP("[S05_MSCustomisedTemplatesMRR1][3][HowTemplateSpecific]",Submission!$O:$O,Submission!$H:$N,""))</f>
        <v>An online version of the Commission template has been developed.</v>
      </c>
      <c r="I30" s="388"/>
    </row>
    <row r="31" spans="1:9" ht="15.9" customHeight="1" x14ac:dyDescent="0.3">
      <c r="C31" s="251" t="s">
        <v>830</v>
      </c>
      <c r="D31" s="257"/>
      <c r="E31" s="250"/>
      <c r="F31" s="274" t="str">
        <f>_xlfn.CONCAT(_xlfn.XLOOKUP("[S05_MSCustomisedTemplatesMRR1][4][SpecificTemplateOrFileFormat]",Submission!$O:$O,Submission!$H:$N,""))</f>
        <v>Member State specific file format</v>
      </c>
      <c r="G31" s="364"/>
      <c r="H31" s="388" t="str">
        <f>_xlfn.CONCAT(_xlfn.XLOOKUP("[S05_MSCustomisedTemplatesMRR1][4][HowTemplateSpecific]",Submission!$O:$O,Submission!$H:$N,""))</f>
        <v>An online version of the Commission template on improvement report covering the improvement reporting based on the verifification report (MRR Article 69,4) has been deployed in 2020. Installations which do not use the required tier (MRR Article 69,1) use the Commission excel template.</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We use the commission template</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We use the commission template</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We use the commission template</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We use the commission template</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The online system contains the same information, as the templates published by the commission, and is based on the common reporting language.</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Yes</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The rules in Article 75 (1) and (2) have been integreted in delevoping the DEA's new electronic system for the ETS scheme. For example: Secure SSL for encryption of data, login with digital signatures and digital signing, automatically generated e-mails from the system without enclosing files (the operator shall download the files directly)</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44115.06</v>
      </c>
      <c r="G53" s="378"/>
      <c r="H53" s="375" t="str">
        <f>_xlfn.CONCAT(_xlfn.XLOOKUP("[S05_InstallationFuelConsEmissions][1][FuelAnnualEmissions]",Submission!$O:$O,Submission!$H:$N,""))</f>
        <v>4136386.83</v>
      </c>
      <c r="I53" s="376"/>
    </row>
    <row r="54" spans="1:9" ht="15.9" customHeight="1" x14ac:dyDescent="0.3">
      <c r="C54" s="251" t="s">
        <v>197</v>
      </c>
      <c r="D54" s="257"/>
      <c r="E54" s="250"/>
      <c r="F54" s="377" t="str">
        <f>_xlfn.CONCAT(_xlfn.XLOOKUP("[S05_InstallationFuelConsEmissions][2][FuelConsumption]",Submission!$O:$O,Submission!$H:$N,""))</f>
        <v/>
      </c>
      <c r="G54" s="378"/>
      <c r="H54" s="375" t="str">
        <f>_xlfn.CONCAT(_xlfn.XLOOKUP("[S05_InstallationFuelConsEmissions][2][FuelAnnualEmissions]",Submission!$O:$O,Submission!$H:$N,""))</f>
        <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
      </c>
      <c r="I55" s="376"/>
    </row>
    <row r="56" spans="1:9" ht="15.9" customHeight="1" x14ac:dyDescent="0.3">
      <c r="C56" s="251" t="s">
        <v>201</v>
      </c>
      <c r="D56" s="257"/>
      <c r="E56" s="250"/>
      <c r="F56" s="377" t="str">
        <f>_xlfn.CONCAT(_xlfn.XLOOKUP("[S05_InstallationFuelConsEmissions][4][FuelConsumption]",Submission!$O:$O,Submission!$H:$N,""))</f>
        <v>322.76</v>
      </c>
      <c r="G56" s="378"/>
      <c r="H56" s="375" t="str">
        <f>_xlfn.CONCAT(_xlfn.XLOOKUP("[S05_InstallationFuelConsEmissions][4][FuelAnnualEmissions]",Submission!$O:$O,Submission!$H:$N,""))</f>
        <v>34717</v>
      </c>
      <c r="I56" s="376"/>
    </row>
    <row r="57" spans="1:9" ht="15.9" customHeight="1" x14ac:dyDescent="0.3">
      <c r="C57" s="251" t="s">
        <v>846</v>
      </c>
      <c r="D57" s="257"/>
      <c r="E57" s="250"/>
      <c r="F57" s="377" t="str">
        <f>_xlfn.CONCAT(_xlfn.XLOOKUP("[S05_InstallationFuelConsEmissions][5][FuelConsumption]",Submission!$O:$O,Submission!$H:$N,""))</f>
        <v>45457</v>
      </c>
      <c r="G57" s="378"/>
      <c r="H57" s="375" t="str">
        <f>_xlfn.CONCAT(_xlfn.XLOOKUP("[S05_InstallationFuelConsEmissions][5][FuelAnnualEmissions]",Submission!$O:$O,Submission!$H:$N,""))</f>
        <v>2551017</v>
      </c>
      <c r="I57" s="376"/>
    </row>
    <row r="58" spans="1:9" ht="15.9" customHeight="1" x14ac:dyDescent="0.3">
      <c r="C58" s="251" t="s">
        <v>847</v>
      </c>
      <c r="D58" s="257"/>
      <c r="E58" s="250"/>
      <c r="F58" s="377" t="str">
        <f>_xlfn.CONCAT(_xlfn.XLOOKUP("[S05_InstallationFuelConsEmissions][6][FuelConsumption]",Submission!$O:$O,Submission!$H:$N,""))</f>
        <v/>
      </c>
      <c r="G58" s="378"/>
      <c r="H58" s="375" t="str">
        <f>_xlfn.CONCAT(_xlfn.XLOOKUP("[S05_InstallationFuelConsEmissions][6][FuelAnnualEmissions]",Submission!$O:$O,Submission!$H:$N,""))</f>
        <v/>
      </c>
      <c r="I58" s="376"/>
    </row>
    <row r="59" spans="1:9" ht="15.9" customHeight="1" x14ac:dyDescent="0.3">
      <c r="C59" s="251" t="s">
        <v>848</v>
      </c>
      <c r="D59" s="257"/>
      <c r="E59" s="250"/>
      <c r="F59" s="377" t="str">
        <f>_xlfn.CONCAT(_xlfn.XLOOKUP("[S05_InstallationFuelConsEmissions][7][FuelConsumption]",Submission!$O:$O,Submission!$H:$N,""))</f>
        <v/>
      </c>
      <c r="G59" s="378"/>
      <c r="H59" s="375" t="str">
        <f>_xlfn.CONCAT(_xlfn.XLOOKUP("[S05_InstallationFuelConsEmissions][7][FuelAnnualEmissions]",Submission!$O:$O,Submission!$H:$N,""))</f>
        <v/>
      </c>
      <c r="I59" s="376"/>
    </row>
    <row r="60" spans="1:9" ht="15.9" customHeight="1" x14ac:dyDescent="0.3">
      <c r="C60" s="251" t="s">
        <v>207</v>
      </c>
      <c r="D60" s="257"/>
      <c r="E60" s="250"/>
      <c r="F60" s="377" t="str">
        <f>_xlfn.CONCAT(_xlfn.XLOOKUP("[S05_InstallationFuelConsEmissions][8][FuelConsumption]",Submission!$O:$O,Submission!$H:$N,""))</f>
        <v>15539</v>
      </c>
      <c r="G60" s="378"/>
      <c r="H60" s="375" t="str">
        <f>_xlfn.CONCAT(_xlfn.XLOOKUP("[S05_InstallationFuelConsEmissions][8][FuelAnnualEmissions]",Submission!$O:$O,Submission!$H:$N,""))</f>
        <v>877764</v>
      </c>
      <c r="I60" s="376"/>
    </row>
    <row r="61" spans="1:9" ht="15.9" customHeight="1" x14ac:dyDescent="0.3">
      <c r="C61" s="251" t="s">
        <v>849</v>
      </c>
      <c r="D61" s="257"/>
      <c r="E61" s="250"/>
      <c r="F61" s="377" t="str">
        <f>_xlfn.CONCAT(_xlfn.XLOOKUP("[S05_InstallationFuelConsEmissions][9][FuelConsumption]",Submission!$O:$O,Submission!$H:$N,""))</f>
        <v>4909.79</v>
      </c>
      <c r="G61" s="378"/>
      <c r="H61" s="375" t="str">
        <f>_xlfn.CONCAT(_xlfn.XLOOKUP("[S05_InstallationFuelConsEmissions][9][FuelAnnualEmissions]",Submission!$O:$O,Submission!$H:$N,""))</f>
        <v>375225</v>
      </c>
      <c r="I61" s="376"/>
    </row>
    <row r="62" spans="1:9" ht="15.9" customHeight="1" x14ac:dyDescent="0.3">
      <c r="C62" s="251" t="s">
        <v>211</v>
      </c>
      <c r="D62" s="257"/>
      <c r="E62" s="250"/>
      <c r="F62" s="377" t="str">
        <f>_xlfn.CONCAT(_xlfn.XLOOKUP("[S05_InstallationFuelConsEmissions][10][FuelConsumption]",Submission!$O:$O,Submission!$H:$N,""))</f>
        <v>220.24</v>
      </c>
      <c r="G62" s="378"/>
      <c r="H62" s="375" t="str">
        <f>_xlfn.CONCAT(_xlfn.XLOOKUP("[S05_InstallationFuelConsEmissions][10][FuelAnnualEmissions]",Submission!$O:$O,Submission!$H:$N,""))</f>
        <v>14310</v>
      </c>
      <c r="I62" s="376"/>
    </row>
    <row r="63" spans="1:9" ht="15.9" customHeight="1" x14ac:dyDescent="0.3">
      <c r="C63" s="251" t="s">
        <v>212</v>
      </c>
      <c r="D63" s="257"/>
      <c r="E63" s="250"/>
      <c r="F63" s="377" t="str">
        <f>_xlfn.CONCAT(_xlfn.XLOOKUP("[S05_InstallationFuelConsEmissions][11][FuelConsumption]",Submission!$O:$O,Submission!$H:$N,""))</f>
        <v>6543.96</v>
      </c>
      <c r="G63" s="378"/>
      <c r="H63" s="375" t="str">
        <f>_xlfn.CONCAT(_xlfn.XLOOKUP("[S05_InstallationFuelConsEmissions][11][FuelAnnualEmissions]",Submission!$O:$O,Submission!$H:$N,""))</f>
        <v>611670.58</v>
      </c>
      <c r="I63" s="376"/>
    </row>
    <row r="64" spans="1:9" ht="15.9" customHeight="1" x14ac:dyDescent="0.3">
      <c r="C64" s="251" t="s">
        <v>850</v>
      </c>
      <c r="D64" s="257"/>
      <c r="E64" s="250"/>
      <c r="F64" s="377" t="str">
        <f>_xlfn.CONCAT(_xlfn.XLOOKUP("[S05_InstallationFuelConsEmissions][12][FuelConsumption]",Submission!$O:$O,Submission!$H:$N,""))</f>
        <v>16235</v>
      </c>
      <c r="G64" s="378"/>
      <c r="H64" s="375" t="str">
        <f>_xlfn.CONCAT(_xlfn.XLOOKUP("[S05_InstallationFuelConsEmissions][12][FuelAnnualEmissions]",Submission!$O:$O,Submission!$H:$N,""))</f>
        <v>571349</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5529660.87</v>
      </c>
      <c r="H69" s="126" t="str">
        <f>_xlfn.CONCAT(_xlfn.XLOOKUP("[S05_AggregateTotalEmissionsByCRF][1][TotalCombustionEmissionsTCo2e]",Submission!$O:$O,Submission!$H:$N,""))</f>
        <v>5529660.87</v>
      </c>
      <c r="I69" s="126" t="str">
        <f>_xlfn.CONCAT(_xlfn.XLOOKUP("[S05_AggregateTotalEmissionsByCRF][1][TotalProcessEmissionsTCo2e]",Submission!$O:$O,Submission!$H:$N,""))</f>
        <v>0</v>
      </c>
    </row>
    <row r="70" spans="1:14" ht="16.2" customHeight="1" x14ac:dyDescent="0.3">
      <c r="C70" s="365" t="str">
        <f>_xlfn.CONCAT(_xlfn.XLOOKUP("[S05_AggregateTotalEmissionsByCRF][2][CRFCategory1]",Submission!$O:$O,Submission!$H:$N,""))</f>
        <v>1A1a - Energy - Public Electricity and Heat Production</v>
      </c>
      <c r="D70" s="366"/>
      <c r="E70" s="367" t="str">
        <f>_xlfn.CONCAT(_xlfn.XLOOKUP("[S05_AggregateTotalEmissionsByCRF][2][CRFCategory2]",Submission!$O:$O,Submission!$H:$N,""))</f>
        <v>2A4 - Process - Other Process Uses of Carbonates</v>
      </c>
      <c r="F70" s="368"/>
      <c r="G70" s="126" t="str">
        <f>_xlfn.CONCAT(_xlfn.XLOOKUP("[S05_AggregateTotalEmissionsByCRF][2][TotalEmissionsTCo2e]",Submission!$O:$O,Submission!$H:$N,""))</f>
        <v>11712509.08</v>
      </c>
      <c r="H70" s="126" t="str">
        <f>_xlfn.CONCAT(_xlfn.XLOOKUP("[S05_AggregateTotalEmissionsByCRF][2][TotalCombustionEmissionsTCo2e]",Submission!$O:$O,Submission!$H:$N,""))</f>
        <v>11706648.4</v>
      </c>
      <c r="I70" s="126" t="str">
        <f>_xlfn.CONCAT(_xlfn.XLOOKUP("[S05_AggregateTotalEmissionsByCRF][2][TotalProcessEmissionsTCo2e]",Submission!$O:$O,Submission!$H:$N,""))</f>
        <v>5860.684</v>
      </c>
    </row>
    <row r="71" spans="1:14" ht="16.2" customHeight="1" x14ac:dyDescent="0.3">
      <c r="C71" s="365" t="str">
        <f>_xlfn.CONCAT(_xlfn.XLOOKUP("[S05_AggregateTotalEmissionsByCRF][3][CRFCategory1]",Submission!$O:$O,Submission!$H:$N,""))</f>
        <v>1A1b - Energy - Petroleum Refining</v>
      </c>
      <c r="D71" s="366"/>
      <c r="E71" s="367" t="str">
        <f>_xlfn.CONCAT(_xlfn.XLOOKUP("[S05_AggregateTotalEmissionsByCRF][3][CRFCategory2]",Submission!$O:$O,Submission!$H:$N,""))</f>
        <v/>
      </c>
      <c r="F71" s="368"/>
      <c r="G71" s="126" t="str">
        <f>_xlfn.CONCAT(_xlfn.XLOOKUP("[S05_AggregateTotalEmissionsByCRF][3][TotalEmissionsTCo2e]",Submission!$O:$O,Submission!$H:$N,""))</f>
        <v>948300.08</v>
      </c>
      <c r="H71" s="126" t="str">
        <f>_xlfn.CONCAT(_xlfn.XLOOKUP("[S05_AggregateTotalEmissionsByCRF][3][TotalCombustionEmissionsTCo2e]",Submission!$O:$O,Submission!$H:$N,""))</f>
        <v>948300.08</v>
      </c>
      <c r="I71" s="126" t="str">
        <f>_xlfn.CONCAT(_xlfn.XLOOKUP("[S05_AggregateTotalEmissionsByCRF][3][TotalProcessEmissionsTCo2e]",Submission!$O:$O,Submission!$H:$N,""))</f>
        <v/>
      </c>
    </row>
    <row r="72" spans="1:14" ht="16.2" customHeight="1" x14ac:dyDescent="0.3">
      <c r="C72" s="365" t="str">
        <f>_xlfn.CONCAT(_xlfn.XLOOKUP("[S05_AggregateTotalEmissionsByCRF][4][CRFCategory1]",Submission!$O:$O,Submission!$H:$N,""))</f>
        <v>1A1c - Energy - Manufacture of Solid Fuels and Other Energy Industries</v>
      </c>
      <c r="D72" s="366"/>
      <c r="E72" s="367" t="str">
        <f>_xlfn.CONCAT(_xlfn.XLOOKUP("[S05_AggregateTotalEmissionsByCRF][4][CRFCategory2]",Submission!$O:$O,Submission!$H:$N,""))</f>
        <v/>
      </c>
      <c r="F72" s="368"/>
      <c r="G72" s="126" t="str">
        <f>_xlfn.CONCAT(_xlfn.XLOOKUP("[S05_AggregateTotalEmissionsByCRF][4][TotalEmissionsTCo2e]",Submission!$O:$O,Submission!$H:$N,""))</f>
        <v>893884.43</v>
      </c>
      <c r="H72" s="126" t="str">
        <f>_xlfn.CONCAT(_xlfn.XLOOKUP("[S05_AggregateTotalEmissionsByCRF][4][TotalCombustionEmissionsTCo2e]",Submission!$O:$O,Submission!$H:$N,""))</f>
        <v>893884.43</v>
      </c>
      <c r="I72" s="126" t="str">
        <f>_xlfn.CONCAT(_xlfn.XLOOKUP("[S05_AggregateTotalEmissionsByCRF][4][TotalProcessEmissionsTCo2e]",Submission!$O:$O,Submission!$H:$N,""))</f>
        <v>0</v>
      </c>
    </row>
    <row r="73" spans="1:14" ht="16.2" customHeight="1" x14ac:dyDescent="0.3">
      <c r="C73" s="365" t="str">
        <f>_xlfn.CONCAT(_xlfn.XLOOKUP("[S05_AggregateTotalEmissionsByCRF][5][CRFCategory1]",Submission!$O:$O,Submission!$H:$N,""))</f>
        <v>1A2a - Energy - Iron and Steel</v>
      </c>
      <c r="D73" s="366"/>
      <c r="E73" s="367" t="str">
        <f>_xlfn.CONCAT(_xlfn.XLOOKUP("[S05_AggregateTotalEmissionsByCRF][5][CRFCategory2]",Submission!$O:$O,Submission!$H:$N,""))</f>
        <v>2C1 - Process - Iron and Steel Production</v>
      </c>
      <c r="F73" s="368"/>
      <c r="G73" s="126" t="str">
        <f>_xlfn.CONCAT(_xlfn.XLOOKUP("[S05_AggregateTotalEmissionsByCRF][5][TotalEmissionsTCo2e]",Submission!$O:$O,Submission!$H:$N,""))</f>
        <v>96742.73</v>
      </c>
      <c r="H73" s="126" t="str">
        <f>_xlfn.CONCAT(_xlfn.XLOOKUP("[S05_AggregateTotalEmissionsByCRF][5][TotalCombustionEmissionsTCo2e]",Submission!$O:$O,Submission!$H:$N,""))</f>
        <v>96742.73</v>
      </c>
      <c r="I73" s="126" t="str">
        <f>_xlfn.CONCAT(_xlfn.XLOOKUP("[S05_AggregateTotalEmissionsByCRF][5][TotalProcessEmissionsTCo2e]",Submission!$O:$O,Submission!$H:$N,""))</f>
        <v>0</v>
      </c>
    </row>
    <row r="74" spans="1:14" ht="16.2" customHeight="1" x14ac:dyDescent="0.3">
      <c r="C74" s="365" t="str">
        <f>_xlfn.CONCAT(_xlfn.XLOOKUP("[S05_AggregateTotalEmissionsByCRF][6][CRFCategory1]",Submission!$O:$O,Submission!$H:$N,""))</f>
        <v>1A2c - Energy - Chemicals</v>
      </c>
      <c r="D74" s="366"/>
      <c r="E74" s="367" t="str">
        <f>_xlfn.CONCAT(_xlfn.XLOOKUP("[S05_AggregateTotalEmissionsByCRF][6][CRFCategory2]",Submission!$O:$O,Submission!$H:$N,""))</f>
        <v/>
      </c>
      <c r="F74" s="368"/>
      <c r="G74" s="126" t="str">
        <f>_xlfn.CONCAT(_xlfn.XLOOKUP("[S05_AggregateTotalEmissionsByCRF][6][TotalEmissionsTCo2e]",Submission!$O:$O,Submission!$H:$N,""))</f>
        <v>116560.01</v>
      </c>
      <c r="H74" s="126" t="str">
        <f>_xlfn.CONCAT(_xlfn.XLOOKUP("[S05_AggregateTotalEmissionsByCRF][6][TotalCombustionEmissionsTCo2e]",Submission!$O:$O,Submission!$H:$N,""))</f>
        <v>116560.01</v>
      </c>
      <c r="I74" s="126" t="str">
        <f>_xlfn.CONCAT(_xlfn.XLOOKUP("[S05_AggregateTotalEmissionsByCRF][6][TotalProcessEmissionsTCo2e]",Submission!$O:$O,Submission!$H:$N,""))</f>
        <v>0</v>
      </c>
    </row>
    <row r="75" spans="1:14" ht="16.2" customHeight="1" x14ac:dyDescent="0.3">
      <c r="C75" s="365" t="str">
        <f>_xlfn.CONCAT(_xlfn.XLOOKUP("[S05_AggregateTotalEmissionsByCRF][7][CRFCategory1]",Submission!$O:$O,Submission!$H:$N,""))</f>
        <v>1A2d - Energy - Pulp, Paper and Print</v>
      </c>
      <c r="D75" s="366"/>
      <c r="E75" s="367" t="str">
        <f>_xlfn.CONCAT(_xlfn.XLOOKUP("[S05_AggregateTotalEmissionsByCRF][7][CRFCategory2]",Submission!$O:$O,Submission!$H:$N,""))</f>
        <v/>
      </c>
      <c r="F75" s="368"/>
      <c r="G75" s="126" t="str">
        <f>_xlfn.CONCAT(_xlfn.XLOOKUP("[S05_AggregateTotalEmissionsByCRF][7][TotalEmissionsTCo2e]",Submission!$O:$O,Submission!$H:$N,""))</f>
        <v>71376.42</v>
      </c>
      <c r="H75" s="126" t="str">
        <f>_xlfn.CONCAT(_xlfn.XLOOKUP("[S05_AggregateTotalEmissionsByCRF][7][TotalCombustionEmissionsTCo2e]",Submission!$O:$O,Submission!$H:$N,""))</f>
        <v>71376.42</v>
      </c>
      <c r="I75" s="126" t="str">
        <f>_xlfn.CONCAT(_xlfn.XLOOKUP("[S05_AggregateTotalEmissionsByCRF][7][TotalProcessEmissionsTCo2e]",Submission!$O:$O,Submission!$H:$N,""))</f>
        <v>0</v>
      </c>
    </row>
    <row r="76" spans="1:14" ht="16.2" customHeight="1" x14ac:dyDescent="0.3">
      <c r="C76" s="365" t="str">
        <f>_xlfn.CONCAT(_xlfn.XLOOKUP("[S05_AggregateTotalEmissionsByCRF][8][CRFCategory1]",Submission!$O:$O,Submission!$H:$N,""))</f>
        <v>1A2e - Energy - Food Processing, Beverages and Tobacco</v>
      </c>
      <c r="D76" s="366"/>
      <c r="E76" s="367" t="str">
        <f>_xlfn.CONCAT(_xlfn.XLOOKUP("[S05_AggregateTotalEmissionsByCRF][8][CRFCategory2]",Submission!$O:$O,Submission!$H:$N,""))</f>
        <v/>
      </c>
      <c r="F76" s="368"/>
      <c r="G76" s="126" t="str">
        <f>_xlfn.CONCAT(_xlfn.XLOOKUP("[S05_AggregateTotalEmissionsByCRF][8][TotalEmissionsTCo2e]",Submission!$O:$O,Submission!$H:$N,""))</f>
        <v>870102.1</v>
      </c>
      <c r="H76" s="126" t="str">
        <f>_xlfn.CONCAT(_xlfn.XLOOKUP("[S05_AggregateTotalEmissionsByCRF][8][TotalCombustionEmissionsTCo2e]",Submission!$O:$O,Submission!$H:$N,""))</f>
        <v>870102.1</v>
      </c>
      <c r="I76" s="126" t="str">
        <f>_xlfn.CONCAT(_xlfn.XLOOKUP("[S05_AggregateTotalEmissionsByCRF][8][TotalProcessEmissionsTCo2e]",Submission!$O:$O,Submission!$H:$N,""))</f>
        <v>0</v>
      </c>
    </row>
    <row r="77" spans="1:14" ht="16.2" customHeight="1" x14ac:dyDescent="0.3">
      <c r="C77" s="365" t="str">
        <f>_xlfn.CONCAT(_xlfn.XLOOKUP("[S05_AggregateTotalEmissionsByCRF][9][CRFCategory1]",Submission!$O:$O,Submission!$H:$N,""))</f>
        <v>1A2e - Energy - Food Processing, Beverages and Tobacco</v>
      </c>
      <c r="D77" s="366"/>
      <c r="E77" s="367" t="str">
        <f>_xlfn.CONCAT(_xlfn.XLOOKUP("[S05_AggregateTotalEmissionsByCRF][9][CRFCategory2]",Submission!$O:$O,Submission!$H:$N,""))</f>
        <v>2A4 - Process - Other Process Uses of Carbonates</v>
      </c>
      <c r="F77" s="368"/>
      <c r="G77" s="126" t="str">
        <f>_xlfn.CONCAT(_xlfn.XLOOKUP("[S05_AggregateTotalEmissionsByCRF][9][TotalEmissionsTCo2e]",Submission!$O:$O,Submission!$H:$N,""))</f>
        <v>68608.75</v>
      </c>
      <c r="H77" s="126" t="str">
        <f>_xlfn.CONCAT(_xlfn.XLOOKUP("[S05_AggregateTotalEmissionsByCRF][9][TotalCombustionEmissionsTCo2e]",Submission!$O:$O,Submission!$H:$N,""))</f>
        <v>67572.15</v>
      </c>
      <c r="I77" s="126" t="str">
        <f>_xlfn.CONCAT(_xlfn.XLOOKUP("[S05_AggregateTotalEmissionsByCRF][9][TotalProcessEmissionsTCo2e]",Submission!$O:$O,Submission!$H:$N,""))</f>
        <v>1036.6</v>
      </c>
    </row>
    <row r="78" spans="1:14" ht="16.2" customHeight="1" x14ac:dyDescent="0.3">
      <c r="C78" s="365" t="str">
        <f>_xlfn.CONCAT(_xlfn.XLOOKUP("[S05_AggregateTotalEmissionsByCRF][10][CRFCategory1]",Submission!$O:$O,Submission!$H:$N,""))</f>
        <v>1A2f - Energy - Non-metallic minerals</v>
      </c>
      <c r="D78" s="366"/>
      <c r="E78" s="367" t="str">
        <f>_xlfn.CONCAT(_xlfn.XLOOKUP("[S05_AggregateTotalEmissionsByCRF][10][CRFCategory2]",Submission!$O:$O,Submission!$H:$N,""))</f>
        <v/>
      </c>
      <c r="F78" s="368"/>
      <c r="G78" s="126" t="str">
        <f>_xlfn.CONCAT(_xlfn.XLOOKUP("[S05_AggregateTotalEmissionsByCRF][10][TotalEmissionsTCo2e]",Submission!$O:$O,Submission!$H:$N,""))</f>
        <v>38203.41</v>
      </c>
      <c r="H78" s="126" t="str">
        <f>_xlfn.CONCAT(_xlfn.XLOOKUP("[S05_AggregateTotalEmissionsByCRF][10][TotalCombustionEmissionsTCo2e]",Submission!$O:$O,Submission!$H:$N,""))</f>
        <v>38203.41</v>
      </c>
      <c r="I78" s="126" t="str">
        <f>_xlfn.CONCAT(_xlfn.XLOOKUP("[S05_AggregateTotalEmissionsByCRF][10][TotalProcessEmissionsTCo2e]",Submission!$O:$O,Submission!$H:$N,""))</f>
        <v>0</v>
      </c>
    </row>
    <row r="79" spans="1:14" ht="16.2" customHeight="1" x14ac:dyDescent="0.3">
      <c r="C79" s="365" t="str">
        <f>_xlfn.CONCAT(_xlfn.XLOOKUP("[S05_AggregateTotalEmissionsByCRF][11][CRFCategory1]",Submission!$O:$O,Submission!$H:$N,""))</f>
        <v>1A2f - Energy - Non-metallic minerals</v>
      </c>
      <c r="D79" s="366"/>
      <c r="E79" s="367" t="str">
        <f>_xlfn.CONCAT(_xlfn.XLOOKUP("[S05_AggregateTotalEmissionsByCRF][11][CRFCategory2]",Submission!$O:$O,Submission!$H:$N,""))</f>
        <v>2A1 - Process - Cement Production</v>
      </c>
      <c r="F79" s="368"/>
      <c r="G79" s="126" t="str">
        <f>_xlfn.CONCAT(_xlfn.XLOOKUP("[S05_AggregateTotalEmissionsByCRF][11][TotalEmissionsTCo2e]",Submission!$O:$O,Submission!$H:$N,""))</f>
        <v>2441773.81</v>
      </c>
      <c r="H79" s="126" t="str">
        <f>_xlfn.CONCAT(_xlfn.XLOOKUP("[S05_AggregateTotalEmissionsByCRF][11][TotalCombustionEmissionsTCo2e]",Submission!$O:$O,Submission!$H:$N,""))</f>
        <v>1227164.94</v>
      </c>
      <c r="I79" s="126" t="str">
        <f>_xlfn.CONCAT(_xlfn.XLOOKUP("[S05_AggregateTotalEmissionsByCRF][11][TotalProcessEmissionsTCo2e]",Submission!$O:$O,Submission!$H:$N,""))</f>
        <v>1214608.87</v>
      </c>
    </row>
    <row r="80" spans="1:14" ht="16.2" customHeight="1" x14ac:dyDescent="0.3">
      <c r="C80" s="365" t="str">
        <f>_xlfn.CONCAT(_xlfn.XLOOKUP("[S05_AggregateTotalEmissionsByCRF][12][CRFCategory1]",Submission!$O:$O,Submission!$H:$N,""))</f>
        <v>1A2f - Energy - Non-metallic minerals</v>
      </c>
      <c r="D80" s="366"/>
      <c r="E80" s="367" t="str">
        <f>_xlfn.CONCAT(_xlfn.XLOOKUP("[S05_AggregateTotalEmissionsByCRF][12][CRFCategory2]",Submission!$O:$O,Submission!$H:$N,""))</f>
        <v>2A2 - Process - Lime Production</v>
      </c>
      <c r="F80" s="368"/>
      <c r="G80" s="126" t="str">
        <f>_xlfn.CONCAT(_xlfn.XLOOKUP("[S05_AggregateTotalEmissionsByCRF][12][TotalEmissionsTCo2e]",Submission!$O:$O,Submission!$H:$N,""))</f>
        <v>46136.29</v>
      </c>
      <c r="H80" s="126" t="str">
        <f>_xlfn.CONCAT(_xlfn.XLOOKUP("[S05_AggregateTotalEmissionsByCRF][12][TotalCombustionEmissionsTCo2e]",Submission!$O:$O,Submission!$H:$N,""))</f>
        <v>22062.71</v>
      </c>
      <c r="I80" s="126" t="str">
        <f>_xlfn.CONCAT(_xlfn.XLOOKUP("[S05_AggregateTotalEmissionsByCRF][12][TotalProcessEmissionsTCo2e]",Submission!$O:$O,Submission!$H:$N,""))</f>
        <v>24073.58</v>
      </c>
    </row>
    <row r="81" spans="3:9" ht="16.2" customHeight="1" x14ac:dyDescent="0.3">
      <c r="C81" s="365" t="str">
        <f>_xlfn.CONCAT(_xlfn.XLOOKUP("[S05_AggregateTotalEmissionsByCRF][13][CRFCategory1]",Submission!$O:$O,Submission!$H:$N,""))</f>
        <v>1A2f - Energy - Non-metallic minerals</v>
      </c>
      <c r="D81" s="366"/>
      <c r="E81" s="367" t="str">
        <f>_xlfn.CONCAT(_xlfn.XLOOKUP("[S05_AggregateTotalEmissionsByCRF][13][CRFCategory2]",Submission!$O:$O,Submission!$H:$N,""))</f>
        <v>2A3 - Process - Glass production</v>
      </c>
      <c r="F81" s="368"/>
      <c r="G81" s="126" t="str">
        <f>_xlfn.CONCAT(_xlfn.XLOOKUP("[S05_AggregateTotalEmissionsByCRF][13][TotalEmissionsTCo2e]",Submission!$O:$O,Submission!$H:$N,""))</f>
        <v>64156.55</v>
      </c>
      <c r="H81" s="126" t="str">
        <f>_xlfn.CONCAT(_xlfn.XLOOKUP("[S05_AggregateTotalEmissionsByCRF][13][TotalCombustionEmissionsTCo2e]",Submission!$O:$O,Submission!$H:$N,""))</f>
        <v>52949.8</v>
      </c>
      <c r="I81" s="126" t="str">
        <f>_xlfn.CONCAT(_xlfn.XLOOKUP("[S05_AggregateTotalEmissionsByCRF][13][TotalProcessEmissionsTCo2e]",Submission!$O:$O,Submission!$H:$N,""))</f>
        <v>11206.75</v>
      </c>
    </row>
    <row r="82" spans="3:9" ht="16.2" customHeight="1" x14ac:dyDescent="0.3">
      <c r="C82" s="365" t="str">
        <f>_xlfn.CONCAT(_xlfn.XLOOKUP("[S05_AggregateTotalEmissionsByCRF][14][CRFCategory1]",Submission!$O:$O,Submission!$H:$N,""))</f>
        <v>1A2f - Energy - Non-metallic minerals</v>
      </c>
      <c r="D82" s="366"/>
      <c r="E82" s="367" t="str">
        <f>_xlfn.CONCAT(_xlfn.XLOOKUP("[S05_AggregateTotalEmissionsByCRF][14][CRFCategory2]",Submission!$O:$O,Submission!$H:$N,""))</f>
        <v>2A4 - Process - Other Process Uses of Carbonates</v>
      </c>
      <c r="F82" s="368"/>
      <c r="G82" s="126" t="str">
        <f>_xlfn.CONCAT(_xlfn.XLOOKUP("[S05_AggregateTotalEmissionsByCRF][14][TotalEmissionsTCo2e]",Submission!$O:$O,Submission!$H:$N,""))</f>
        <v>75922.11</v>
      </c>
      <c r="H82" s="126" t="str">
        <f>_xlfn.CONCAT(_xlfn.XLOOKUP("[S05_AggregateTotalEmissionsByCRF][14][TotalCombustionEmissionsTCo2e]",Submission!$O:$O,Submission!$H:$N,""))</f>
        <v>70314.12</v>
      </c>
      <c r="I82" s="126" t="str">
        <f>_xlfn.CONCAT(_xlfn.XLOOKUP("[S05_AggregateTotalEmissionsByCRF][14][TotalProcessEmissionsTCo2e]",Submission!$O:$O,Submission!$H:$N,""))</f>
        <v>5607.99</v>
      </c>
    </row>
    <row r="83" spans="3:9" ht="16.2" customHeight="1" x14ac:dyDescent="0.3">
      <c r="C83" s="365" t="str">
        <f>_xlfn.CONCAT(_xlfn.XLOOKUP("[S05_AggregateTotalEmissionsByCRF][15][CRFCategory1]",Submission!$O:$O,Submission!$H:$N,""))</f>
        <v>1A2f - Energy - Non-metallic minerals</v>
      </c>
      <c r="D83" s="366"/>
      <c r="E83" s="367" t="str">
        <f>_xlfn.CONCAT(_xlfn.XLOOKUP("[S05_AggregateTotalEmissionsByCRF][15][CRFCategory2]",Submission!$O:$O,Submission!$H:$N,""))</f>
        <v>2D3 - Process - Solvents</v>
      </c>
      <c r="F83" s="368"/>
      <c r="G83" s="126" t="str">
        <f>_xlfn.CONCAT(_xlfn.XLOOKUP("[S05_AggregateTotalEmissionsByCRF][15][TotalEmissionsTCo2e]",Submission!$O:$O,Submission!$H:$N,""))</f>
        <v>280888.89</v>
      </c>
      <c r="H83" s="126" t="str">
        <f>_xlfn.CONCAT(_xlfn.XLOOKUP("[S05_AggregateTotalEmissionsByCRF][15][TotalCombustionEmissionsTCo2e]",Submission!$O:$O,Submission!$H:$N,""))</f>
        <v>227573.23</v>
      </c>
      <c r="I83" s="126" t="str">
        <f>_xlfn.CONCAT(_xlfn.XLOOKUP("[S05_AggregateTotalEmissionsByCRF][15][TotalProcessEmissionsTCo2e]",Submission!$O:$O,Submission!$H:$N,""))</f>
        <v>53315.66</v>
      </c>
    </row>
    <row r="84" spans="3:9" ht="16.2" customHeight="1" x14ac:dyDescent="0.3">
      <c r="C84" s="365" t="str">
        <f>_xlfn.CONCAT(_xlfn.XLOOKUP("[S05_AggregateTotalEmissionsByCRF][16][CRFCategory1]",Submission!$O:$O,Submission!$H:$N,""))</f>
        <v>1A2g - Energy - Other Manufacturing Industries and Construction</v>
      </c>
      <c r="D84" s="366"/>
      <c r="E84" s="367" t="str">
        <f>_xlfn.CONCAT(_xlfn.XLOOKUP("[S05_AggregateTotalEmissionsByCRF][16][CRFCategory2]",Submission!$O:$O,Submission!$H:$N,""))</f>
        <v/>
      </c>
      <c r="F84" s="368"/>
      <c r="G84" s="126" t="str">
        <f>_xlfn.CONCAT(_xlfn.XLOOKUP("[S05_AggregateTotalEmissionsByCRF][16][TotalEmissionsTCo2e]",Submission!$O:$O,Submission!$H:$N,""))</f>
        <v>87585.54</v>
      </c>
      <c r="H84" s="126" t="str">
        <f>_xlfn.CONCAT(_xlfn.XLOOKUP("[S05_AggregateTotalEmissionsByCRF][16][TotalCombustionEmissionsTCo2e]",Submission!$O:$O,Submission!$H:$N,""))</f>
        <v>87585.54</v>
      </c>
      <c r="I84" s="126" t="str">
        <f>_xlfn.CONCAT(_xlfn.XLOOKUP("[S05_AggregateTotalEmissionsByCRF][16][TotalProcessEmissionsTCo2e]",Submission!$O:$O,Submission!$H:$N,""))</f>
        <v>0</v>
      </c>
    </row>
    <row r="85" spans="3:9" ht="16.2" customHeight="1" x14ac:dyDescent="0.3">
      <c r="C85" s="365" t="str">
        <f>_xlfn.CONCAT(_xlfn.XLOOKUP("[S05_AggregateTotalEmissionsByCRF][17][CRFCategory1]",Submission!$O:$O,Submission!$H:$N,""))</f>
        <v>1A4a - Energy - Commercial/Institutional</v>
      </c>
      <c r="D85" s="366"/>
      <c r="E85" s="367" t="str">
        <f>_xlfn.CONCAT(_xlfn.XLOOKUP("[S05_AggregateTotalEmissionsByCRF][17][CRFCategory2]",Submission!$O:$O,Submission!$H:$N,""))</f>
        <v/>
      </c>
      <c r="F85" s="368"/>
      <c r="G85" s="126" t="str">
        <f>_xlfn.CONCAT(_xlfn.XLOOKUP("[S05_AggregateTotalEmissionsByCRF][17][TotalEmissionsTCo2e]",Submission!$O:$O,Submission!$H:$N,""))</f>
        <v>2763.35</v>
      </c>
      <c r="H85" s="126" t="str">
        <f>_xlfn.CONCAT(_xlfn.XLOOKUP("[S05_AggregateTotalEmissionsByCRF][17][TotalCombustionEmissionsTCo2e]",Submission!$O:$O,Submission!$H:$N,""))</f>
        <v>2763.35</v>
      </c>
      <c r="I85" s="126" t="str">
        <f>_xlfn.CONCAT(_xlfn.XLOOKUP("[S05_AggregateTotalEmissionsByCRF][17][TotalProcessEmissionsTCo2e]",Submission!$O:$O,Submission!$H:$N,""))</f>
        <v>0</v>
      </c>
    </row>
    <row r="86" spans="3:9" ht="16.2" customHeight="1" x14ac:dyDescent="0.3">
      <c r="C86" s="365" t="str">
        <f>_xlfn.CONCAT(_xlfn.XLOOKUP("[S05_AggregateTotalEmissionsByCRF][18][CRFCategory1]",Submission!$O:$O,Submission!$H:$N,""))</f>
        <v>1A4c - Energy - Agriculture/Forestry/Fishing</v>
      </c>
      <c r="D86" s="366"/>
      <c r="E86" s="367" t="str">
        <f>_xlfn.CONCAT(_xlfn.XLOOKUP("[S05_AggregateTotalEmissionsByCRF][18][CRFCategory2]",Submission!$O:$O,Submission!$H:$N,""))</f>
        <v/>
      </c>
      <c r="F86" s="368"/>
      <c r="G86" s="126" t="str">
        <f>_xlfn.CONCAT(_xlfn.XLOOKUP("[S05_AggregateTotalEmissionsByCRF][18][TotalEmissionsTCo2e]",Submission!$O:$O,Submission!$H:$N,""))</f>
        <v>23758.57</v>
      </c>
      <c r="H86" s="126" t="str">
        <f>_xlfn.CONCAT(_xlfn.XLOOKUP("[S05_AggregateTotalEmissionsByCRF][18][TotalCombustionEmissionsTCo2e]",Submission!$O:$O,Submission!$H:$N,""))</f>
        <v>23758.57</v>
      </c>
      <c r="I86" s="126" t="str">
        <f>_xlfn.CONCAT(_xlfn.XLOOKUP("[S05_AggregateTotalEmissionsByCRF][18][TotalProcessEmissionsTCo2e]",Submission!$O:$O,Submission!$H:$N,""))</f>
        <v>0</v>
      </c>
    </row>
    <row r="87" spans="3:9" ht="16.2" customHeight="1" x14ac:dyDescent="0.3">
      <c r="C87" s="365" t="str">
        <f>_xlfn.CONCAT(_xlfn.XLOOKUP("[S05_AggregateTotalEmissionsByCRF][19][CRFCategory1]",Submission!$O:$O,Submission!$H:$N,""))</f>
        <v>1B2b - Energy - Fugitive - Natural Gas</v>
      </c>
      <c r="D87" s="366"/>
      <c r="E87" s="367" t="str">
        <f>_xlfn.CONCAT(_xlfn.XLOOKUP("[S05_AggregateTotalEmissionsByCRF][19][CRFCategory2]",Submission!$O:$O,Submission!$H:$N,""))</f>
        <v/>
      </c>
      <c r="F87" s="368"/>
      <c r="G87" s="126" t="str">
        <f>_xlfn.CONCAT(_xlfn.XLOOKUP("[S05_AggregateTotalEmissionsByCRF][19][TotalEmissionsTCo2e]",Submission!$O:$O,Submission!$H:$N,""))</f>
        <v>110639.51</v>
      </c>
      <c r="H87" s="126" t="str">
        <f>_xlfn.CONCAT(_xlfn.XLOOKUP("[S05_AggregateTotalEmissionsByCRF][19][TotalCombustionEmissionsTCo2e]",Submission!$O:$O,Submission!$H:$N,""))</f>
        <v>110639.51</v>
      </c>
      <c r="I87" s="126" t="str">
        <f>_xlfn.CONCAT(_xlfn.XLOOKUP("[S05_AggregateTotalEmissionsByCRF][19][TotalProcessEmissionsTCo2e]",Submission!$O:$O,Submission!$H:$N,""))</f>
        <v>0</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Installation with low emissions</v>
      </c>
      <c r="D203" s="414"/>
      <c r="E203" s="414"/>
      <c r="F203" s="414"/>
      <c r="G203" s="364"/>
      <c r="H203" s="123" t="str">
        <f>_xlfn.CONCAT(_xlfn.XLOOKUP("[S05_DefaultValues][1][FuelMaterialType]",Submission!$O:$O,Submission!$H:$N,""))</f>
        <v>Waste</v>
      </c>
      <c r="I203" s="106" t="str">
        <f>_xlfn.CONCAT(_xlfn.XLOOKUP("[S05_DefaultValues][1][InstallationNumber]",Submission!$O:$O,Submission!$H:$N,""))</f>
        <v>2</v>
      </c>
    </row>
    <row r="204" spans="1:9" ht="15.9" customHeight="1" x14ac:dyDescent="0.3">
      <c r="A204" s="13"/>
      <c r="B204" s="34"/>
      <c r="C204" s="274" t="str">
        <f>_xlfn.CONCAT(_xlfn.XLOOKUP("[S05_DefaultValues][2][InstallationCategory]",Submission!$O:$O,Submission!$H:$N,""))</f>
        <v>Category A installation</v>
      </c>
      <c r="D204" s="414"/>
      <c r="E204" s="414"/>
      <c r="F204" s="414"/>
      <c r="G204" s="364"/>
      <c r="H204" s="123" t="str">
        <f>_xlfn.CONCAT(_xlfn.XLOOKUP("[S05_DefaultValues][2][FuelMaterialType]",Submission!$O:$O,Submission!$H:$N,""))</f>
        <v>Waste</v>
      </c>
      <c r="I204" s="106" t="str">
        <f>_xlfn.CONCAT(_xlfn.XLOOKUP("[S05_DefaultValues][2][InstallationNumber]",Submission!$O:$O,Submission!$H:$N,""))</f>
        <v>4</v>
      </c>
    </row>
    <row r="205" spans="1:9" ht="15.9" customHeight="1" x14ac:dyDescent="0.3">
      <c r="A205" s="13"/>
      <c r="B205" s="34"/>
      <c r="C205" s="274" t="str">
        <f>_xlfn.CONCAT(_xlfn.XLOOKUP("[S05_DefaultValues][3][InstallationCategory]",Submission!$O:$O,Submission!$H:$N,""))</f>
        <v>Category B installation</v>
      </c>
      <c r="D205" s="414"/>
      <c r="E205" s="414"/>
      <c r="F205" s="414"/>
      <c r="G205" s="364"/>
      <c r="H205" s="123" t="str">
        <f>_xlfn.CONCAT(_xlfn.XLOOKUP("[S05_DefaultValues][3][FuelMaterialType]",Submission!$O:$O,Submission!$H:$N,""))</f>
        <v>Waste</v>
      </c>
      <c r="I205" s="106" t="str">
        <f>_xlfn.CONCAT(_xlfn.XLOOKUP("[S05_DefaultValues][3][InstallationNumber]",Submission!$O:$O,Submission!$H:$N,""))</f>
        <v>18</v>
      </c>
    </row>
    <row r="206" spans="1:9" ht="15.9" customHeight="1" x14ac:dyDescent="0.3">
      <c r="A206" s="13"/>
      <c r="B206" s="34"/>
      <c r="C206" s="274" t="str">
        <f>_xlfn.CONCAT(_xlfn.XLOOKUP("[S05_DefaultValues][4][InstallationCategory]",Submission!$O:$O,Submission!$H:$N,""))</f>
        <v>Installation with low emissions</v>
      </c>
      <c r="D206" s="414"/>
      <c r="E206" s="414"/>
      <c r="F206" s="414"/>
      <c r="G206" s="364"/>
      <c r="H206" s="123" t="str">
        <f>_xlfn.CONCAT(_xlfn.XLOOKUP("[S05_DefaultValues][4][FuelMaterialType]",Submission!$O:$O,Submission!$H:$N,""))</f>
        <v>Other solid biomass</v>
      </c>
      <c r="I206" s="106" t="str">
        <f>_xlfn.CONCAT(_xlfn.XLOOKUP("[S05_DefaultValues][4][InstallationNumber]",Submission!$O:$O,Submission!$H:$N,""))</f>
        <v>23</v>
      </c>
    </row>
    <row r="207" spans="1:9" ht="15.9" customHeight="1" x14ac:dyDescent="0.3">
      <c r="A207" s="13"/>
      <c r="B207" s="34"/>
      <c r="C207" s="274" t="str">
        <f>_xlfn.CONCAT(_xlfn.XLOOKUP("[S05_DefaultValues][5][InstallationCategory]",Submission!$O:$O,Submission!$H:$N,""))</f>
        <v>Category A installation</v>
      </c>
      <c r="D207" s="414"/>
      <c r="E207" s="414"/>
      <c r="F207" s="414"/>
      <c r="G207" s="364"/>
      <c r="H207" s="123" t="str">
        <f>_xlfn.CONCAT(_xlfn.XLOOKUP("[S05_DefaultValues][5][FuelMaterialType]",Submission!$O:$O,Submission!$H:$N,""))</f>
        <v>Other solid biomass</v>
      </c>
      <c r="I207" s="106" t="str">
        <f>_xlfn.CONCAT(_xlfn.XLOOKUP("[S05_DefaultValues][5][InstallationNumber]",Submission!$O:$O,Submission!$H:$N,""))</f>
        <v>8</v>
      </c>
    </row>
    <row r="208" spans="1:9" ht="15.9" customHeight="1" x14ac:dyDescent="0.3">
      <c r="A208" s="13"/>
      <c r="B208" s="34"/>
      <c r="C208" s="274" t="str">
        <f>_xlfn.CONCAT(_xlfn.XLOOKUP("[S05_DefaultValues][6][InstallationCategory]",Submission!$O:$O,Submission!$H:$N,""))</f>
        <v>Category B installation</v>
      </c>
      <c r="D208" s="414"/>
      <c r="E208" s="414"/>
      <c r="F208" s="414"/>
      <c r="G208" s="364"/>
      <c r="H208" s="123" t="str">
        <f>_xlfn.CONCAT(_xlfn.XLOOKUP("[S05_DefaultValues][6][FuelMaterialType]",Submission!$O:$O,Submission!$H:$N,""))</f>
        <v>Other solid biomass</v>
      </c>
      <c r="I208" s="106" t="str">
        <f>_xlfn.CONCAT(_xlfn.XLOOKUP("[S05_DefaultValues][6][InstallationNumber]",Submission!$O:$O,Submission!$H:$N,""))</f>
        <v>23</v>
      </c>
    </row>
    <row r="209" spans="1:9" ht="15.9" customHeight="1" x14ac:dyDescent="0.3">
      <c r="A209" s="13"/>
      <c r="B209" s="34"/>
      <c r="C209" s="274" t="str">
        <f>_xlfn.CONCAT(_xlfn.XLOOKUP("[S05_DefaultValues][7][InstallationCategory]",Submission!$O:$O,Submission!$H:$N,""))</f>
        <v>Category C installation</v>
      </c>
      <c r="D209" s="414"/>
      <c r="E209" s="414"/>
      <c r="F209" s="414"/>
      <c r="G209" s="364"/>
      <c r="H209" s="123" t="str">
        <f>_xlfn.CONCAT(_xlfn.XLOOKUP("[S05_DefaultValues][7][FuelMaterialType]",Submission!$O:$O,Submission!$H:$N,""))</f>
        <v>Other solid biomass</v>
      </c>
      <c r="I209" s="106" t="str">
        <f>_xlfn.CONCAT(_xlfn.XLOOKUP("[S05_DefaultValues][7][InstallationNumber]",Submission!$O:$O,Submission!$H:$N,""))</f>
        <v>1</v>
      </c>
    </row>
    <row r="210" spans="1:9" ht="15.9" customHeight="1" x14ac:dyDescent="0.3">
      <c r="A210" s="13"/>
      <c r="B210" s="34"/>
      <c r="C210" s="274" t="str">
        <f>_xlfn.CONCAT(_xlfn.XLOOKUP("[S05_DefaultValues][8][InstallationCategory]",Submission!$O:$O,Submission!$H:$N,""))</f>
        <v>Installation with low emissions</v>
      </c>
      <c r="D210" s="414"/>
      <c r="E210" s="414"/>
      <c r="F210" s="414"/>
      <c r="G210" s="364"/>
      <c r="H210" s="123" t="str">
        <f>_xlfn.CONCAT(_xlfn.XLOOKUP("[S05_DefaultValues][8][FuelMaterialType]",Submission!$O:$O,Submission!$H:$N,""))</f>
        <v>Other fossil fuels</v>
      </c>
      <c r="I210" s="106" t="str">
        <f>_xlfn.CONCAT(_xlfn.XLOOKUP("[S05_DefaultValues][8][InstallationNumber]",Submission!$O:$O,Submission!$H:$N,""))</f>
        <v>1</v>
      </c>
    </row>
    <row r="211" spans="1:9" ht="15.9" customHeight="1" x14ac:dyDescent="0.3">
      <c r="A211" s="13"/>
      <c r="B211" s="34"/>
      <c r="C211" s="274" t="str">
        <f>_xlfn.CONCAT(_xlfn.XLOOKUP("[S05_DefaultValues][9][InstallationCategory]",Submission!$O:$O,Submission!$H:$N,""))</f>
        <v>Category B installation</v>
      </c>
      <c r="D211" s="414"/>
      <c r="E211" s="414"/>
      <c r="F211" s="414"/>
      <c r="G211" s="364"/>
      <c r="H211" s="123" t="str">
        <f>_xlfn.CONCAT(_xlfn.XLOOKUP("[S05_DefaultValues][9][FuelMaterialType]",Submission!$O:$O,Submission!$H:$N,""))</f>
        <v>Other fossil fuels</v>
      </c>
      <c r="I211" s="106" t="str">
        <f>_xlfn.CONCAT(_xlfn.XLOOKUP("[S05_DefaultValues][9][InstallationNumber]",Submission!$O:$O,Submission!$H:$N,""))</f>
        <v>1</v>
      </c>
    </row>
    <row r="212" spans="1:9" ht="15.9" customHeight="1" x14ac:dyDescent="0.3">
      <c r="A212" s="13"/>
      <c r="B212" s="34"/>
      <c r="C212" s="274" t="str">
        <f>_xlfn.CONCAT(_xlfn.XLOOKUP("[S05_DefaultValues][10][InstallationCategory]",Submission!$O:$O,Submission!$H:$N,""))</f>
        <v>Installation with low emissions</v>
      </c>
      <c r="D212" s="414"/>
      <c r="E212" s="414"/>
      <c r="F212" s="414"/>
      <c r="G212" s="364"/>
      <c r="H212" s="123" t="str">
        <f>_xlfn.CONCAT(_xlfn.XLOOKUP("[S05_DefaultValues][10][FuelMaterialType]",Submission!$O:$O,Submission!$H:$N,""))</f>
        <v>Biodiesels</v>
      </c>
      <c r="I212" s="106" t="str">
        <f>_xlfn.CONCAT(_xlfn.XLOOKUP("[S05_DefaultValues][10][InstallationNumber]",Submission!$O:$O,Submission!$H:$N,""))</f>
        <v>1</v>
      </c>
    </row>
    <row r="213" spans="1:9" ht="15.9" customHeight="1" x14ac:dyDescent="0.3">
      <c r="A213" s="13"/>
      <c r="B213" s="34"/>
      <c r="C213" s="274" t="str">
        <f>_xlfn.CONCAT(_xlfn.XLOOKUP("[S05_DefaultValues][11][InstallationCategory]",Submission!$O:$O,Submission!$H:$N,""))</f>
        <v>Installation with low emissions</v>
      </c>
      <c r="D213" s="414"/>
      <c r="E213" s="414"/>
      <c r="F213" s="414"/>
      <c r="G213" s="364"/>
      <c r="H213" s="123" t="str">
        <f>_xlfn.CONCAT(_xlfn.XLOOKUP("[S05_DefaultValues][11][FuelMaterialType]",Submission!$O:$O,Submission!$H:$N,""))</f>
        <v>Biogas - other</v>
      </c>
      <c r="I213" s="106" t="str">
        <f>_xlfn.CONCAT(_xlfn.XLOOKUP("[S05_DefaultValues][11][InstallationNumber]",Submission!$O:$O,Submission!$H:$N,""))</f>
        <v>1</v>
      </c>
    </row>
    <row r="214" spans="1:9" ht="15.9" customHeight="1" x14ac:dyDescent="0.3">
      <c r="A214" s="13"/>
      <c r="B214" s="34"/>
      <c r="C214" s="274" t="str">
        <f>_xlfn.CONCAT(_xlfn.XLOOKUP("[S05_DefaultValues][12][InstallationCategory]",Submission!$O:$O,Submission!$H:$N,""))</f>
        <v>Category B installation</v>
      </c>
      <c r="D214" s="414"/>
      <c r="E214" s="414"/>
      <c r="F214" s="414"/>
      <c r="G214" s="364"/>
      <c r="H214" s="123" t="str">
        <f>_xlfn.CONCAT(_xlfn.XLOOKUP("[S05_DefaultValues][12][FuelMaterialType]",Submission!$O:$O,Submission!$H:$N,""))</f>
        <v>Biogas - other</v>
      </c>
      <c r="I214" s="106" t="str">
        <f>_xlfn.CONCAT(_xlfn.XLOOKUP("[S05_DefaultValues][12][InstallationNumber]",Submission!$O:$O,Submission!$H:$N,""))</f>
        <v>1</v>
      </c>
    </row>
    <row r="215" spans="1:9" ht="15.9" customHeight="1" x14ac:dyDescent="0.3">
      <c r="A215" s="13"/>
      <c r="B215" s="34"/>
      <c r="C215" s="274" t="str">
        <f>_xlfn.CONCAT(_xlfn.XLOOKUP("[S05_DefaultValues][13][InstallationCategory]",Submission!$O:$O,Submission!$H:$N,""))</f>
        <v>Category B installation</v>
      </c>
      <c r="D215" s="414"/>
      <c r="E215" s="414"/>
      <c r="F215" s="414"/>
      <c r="G215" s="364"/>
      <c r="H215" s="123" t="str">
        <f>_xlfn.CONCAT(_xlfn.XLOOKUP("[S05_DefaultValues][13][FuelMaterialType]",Submission!$O:$O,Submission!$H:$N,""))</f>
        <v>Biogas - flaregas</v>
      </c>
      <c r="I215" s="106" t="str">
        <f>_xlfn.CONCAT(_xlfn.XLOOKUP("[S05_DefaultValues][13][InstallationNumber]",Submission!$O:$O,Submission!$H:$N,""))</f>
        <v>1</v>
      </c>
    </row>
    <row r="216" spans="1:9" ht="15.9" customHeight="1" x14ac:dyDescent="0.3">
      <c r="A216" s="13"/>
      <c r="B216" s="34"/>
      <c r="C216" s="274" t="str">
        <f>_xlfn.CONCAT(_xlfn.XLOOKUP("[S05_DefaultValues][14][InstallationCategory]",Submission!$O:$O,Submission!$H:$N,""))</f>
        <v>Installation with low emissions</v>
      </c>
      <c r="D216" s="414"/>
      <c r="E216" s="414"/>
      <c r="F216" s="414"/>
      <c r="G216" s="364"/>
      <c r="H216" s="123" t="str">
        <f>_xlfn.CONCAT(_xlfn.XLOOKUP("[S05_DefaultValues][14][FuelMaterialType]",Submission!$O:$O,Submission!$H:$N,""))</f>
        <v>Biogas from waste</v>
      </c>
      <c r="I216" s="106" t="str">
        <f>_xlfn.CONCAT(_xlfn.XLOOKUP("[S05_DefaultValues][14][InstallationNumber]",Submission!$O:$O,Submission!$H:$N,""))</f>
        <v>1</v>
      </c>
    </row>
    <row r="217" spans="1:9" ht="15.9" customHeight="1" x14ac:dyDescent="0.3">
      <c r="A217" s="13"/>
      <c r="B217" s="34"/>
      <c r="C217" s="274" t="str">
        <f>_xlfn.CONCAT(_xlfn.XLOOKUP("[S05_DefaultValues][15][InstallationCategory]",Submission!$O:$O,Submission!$H:$N,""))</f>
        <v>Installation with low emissions</v>
      </c>
      <c r="D217" s="414"/>
      <c r="E217" s="414"/>
      <c r="F217" s="414"/>
      <c r="G217" s="364"/>
      <c r="H217" s="123" t="str">
        <f>_xlfn.CONCAT(_xlfn.XLOOKUP("[S05_DefaultValues][15][FuelMaterialType]",Submission!$O:$O,Submission!$H:$N,""))</f>
        <v>Biogas from landfill plant</v>
      </c>
      <c r="I217" s="106" t="str">
        <f>_xlfn.CONCAT(_xlfn.XLOOKUP("[S05_DefaultValues][15][InstallationNumber]",Submission!$O:$O,Submission!$H:$N,""))</f>
        <v>1</v>
      </c>
    </row>
    <row r="218" spans="1:9" ht="15.9" customHeight="1" x14ac:dyDescent="0.3">
      <c r="A218" s="13"/>
      <c r="B218" s="34"/>
      <c r="C218" s="274" t="str">
        <f>_xlfn.CONCAT(_xlfn.XLOOKUP("[S05_DefaultValues][16][InstallationCategory]",Submission!$O:$O,Submission!$H:$N,""))</f>
        <v>Installation with low emissions</v>
      </c>
      <c r="D218" s="414"/>
      <c r="E218" s="414"/>
      <c r="F218" s="414"/>
      <c r="G218" s="364"/>
      <c r="H218" s="123" t="str">
        <f>_xlfn.CONCAT(_xlfn.XLOOKUP("[S05_DefaultValues][16][FuelMaterialType]",Submission!$O:$O,Submission!$H:$N,""))</f>
        <v>Biogas from manure</v>
      </c>
      <c r="I218" s="106" t="str">
        <f>_xlfn.CONCAT(_xlfn.XLOOKUP("[S05_DefaultValues][16][InstallationNumber]",Submission!$O:$O,Submission!$H:$N,""))</f>
        <v>2</v>
      </c>
    </row>
    <row r="219" spans="1:9" ht="15.9" customHeight="1" x14ac:dyDescent="0.3">
      <c r="A219" s="13"/>
      <c r="B219" s="34"/>
      <c r="C219" s="274" t="str">
        <f>_xlfn.CONCAT(_xlfn.XLOOKUP("[S05_DefaultValues][17][InstallationCategory]",Submission!$O:$O,Submission!$H:$N,""))</f>
        <v>Category B installation</v>
      </c>
      <c r="D219" s="414"/>
      <c r="E219" s="414"/>
      <c r="F219" s="414"/>
      <c r="G219" s="364"/>
      <c r="H219" s="123" t="str">
        <f>_xlfn.CONCAT(_xlfn.XLOOKUP("[S05_DefaultValues][17][FuelMaterialType]",Submission!$O:$O,Submission!$H:$N,""))</f>
        <v>Biogas from manure</v>
      </c>
      <c r="I219" s="106" t="str">
        <f>_xlfn.CONCAT(_xlfn.XLOOKUP("[S05_DefaultValues][17][InstallationNumber]",Submission!$O:$O,Submission!$H:$N,""))</f>
        <v>1</v>
      </c>
    </row>
    <row r="220" spans="1:9" ht="15.9" customHeight="1" x14ac:dyDescent="0.3">
      <c r="A220" s="13"/>
      <c r="B220" s="34"/>
      <c r="C220" s="274" t="str">
        <f>_xlfn.CONCAT(_xlfn.XLOOKUP("[S05_DefaultValues][18][InstallationCategory]",Submission!$O:$O,Submission!$H:$N,""))</f>
        <v>Installation with low emissions</v>
      </c>
      <c r="D220" s="414"/>
      <c r="E220" s="414"/>
      <c r="F220" s="414"/>
      <c r="G220" s="364"/>
      <c r="H220" s="123" t="str">
        <f>_xlfn.CONCAT(_xlfn.XLOOKUP("[S05_DefaultValues][18][FuelMaterialType]",Submission!$O:$O,Submission!$H:$N,""))</f>
        <v>Biogas from treatment plants</v>
      </c>
      <c r="I220" s="106" t="str">
        <f>_xlfn.CONCAT(_xlfn.XLOOKUP("[S05_DefaultValues][18][InstallationNumber]",Submission!$O:$O,Submission!$H:$N,""))</f>
        <v>1</v>
      </c>
    </row>
    <row r="221" spans="1:9" ht="15.9" customHeight="1" x14ac:dyDescent="0.3">
      <c r="A221" s="13"/>
      <c r="B221" s="34"/>
      <c r="C221" s="274" t="str">
        <f>_xlfn.CONCAT(_xlfn.XLOOKUP("[S05_DefaultValues][19][InstallationCategory]",Submission!$O:$O,Submission!$H:$N,""))</f>
        <v>Category B installation</v>
      </c>
      <c r="D221" s="414"/>
      <c r="E221" s="414"/>
      <c r="F221" s="414"/>
      <c r="G221" s="364"/>
      <c r="H221" s="123" t="str">
        <f>_xlfn.CONCAT(_xlfn.XLOOKUP("[S05_DefaultValues][19][FuelMaterialType]",Submission!$O:$O,Submission!$H:$N,""))</f>
        <v>Biogas from treatment plants</v>
      </c>
      <c r="I221" s="106" t="str">
        <f>_xlfn.CONCAT(_xlfn.XLOOKUP("[S05_DefaultValues][19][InstallationNumber]",Submission!$O:$O,Submission!$H:$N,""))</f>
        <v>3</v>
      </c>
    </row>
    <row r="222" spans="1:9" ht="15.9" customHeight="1" x14ac:dyDescent="0.3">
      <c r="A222" s="13"/>
      <c r="B222" s="34"/>
      <c r="C222" s="274" t="str">
        <f>_xlfn.CONCAT(_xlfn.XLOOKUP("[S05_DefaultValues][20][InstallationCategory]",Submission!$O:$O,Submission!$H:$N,""))</f>
        <v>Installation with low emissions</v>
      </c>
      <c r="D222" s="414"/>
      <c r="E222" s="414"/>
      <c r="F222" s="414"/>
      <c r="G222" s="364"/>
      <c r="H222" s="123" t="str">
        <f>_xlfn.CONCAT(_xlfn.XLOOKUP("[S05_DefaultValues][20][FuelMaterialType]",Submission!$O:$O,Submission!$H:$N,""))</f>
        <v>Bionatural gas from gasgrid</v>
      </c>
      <c r="I222" s="106" t="str">
        <f>_xlfn.CONCAT(_xlfn.XLOOKUP("[S05_DefaultValues][20][InstallationNumber]",Submission!$O:$O,Submission!$H:$N,""))</f>
        <v>3</v>
      </c>
    </row>
    <row r="223" spans="1:9" ht="15.9" customHeight="1" x14ac:dyDescent="0.3">
      <c r="A223" s="13"/>
      <c r="B223" s="34"/>
      <c r="C223" s="274" t="str">
        <f>_xlfn.CONCAT(_xlfn.XLOOKUP("[S05_DefaultValues][21][InstallationCategory]",Submission!$O:$O,Submission!$H:$N,""))</f>
        <v>Category A installation</v>
      </c>
      <c r="D223" s="414"/>
      <c r="E223" s="414"/>
      <c r="F223" s="414"/>
      <c r="G223" s="364"/>
      <c r="H223" s="123" t="str">
        <f>_xlfn.CONCAT(_xlfn.XLOOKUP("[S05_DefaultValues][21][FuelMaterialType]",Submission!$O:$O,Submission!$H:$N,""))</f>
        <v>Bionatural gas from gasgrid</v>
      </c>
      <c r="I223" s="106" t="str">
        <f>_xlfn.CONCAT(_xlfn.XLOOKUP("[S05_DefaultValues][21][InstallationNumber]",Submission!$O:$O,Submission!$H:$N,""))</f>
        <v>3</v>
      </c>
    </row>
    <row r="224" spans="1:9" ht="15.9" customHeight="1" x14ac:dyDescent="0.3">
      <c r="A224" s="13"/>
      <c r="B224" s="34"/>
      <c r="C224" s="274" t="str">
        <f>_xlfn.CONCAT(_xlfn.XLOOKUP("[S05_DefaultValues][22][InstallationCategory]",Submission!$O:$O,Submission!$H:$N,""))</f>
        <v>Installation with low emissions</v>
      </c>
      <c r="D224" s="414"/>
      <c r="E224" s="414"/>
      <c r="F224" s="414"/>
      <c r="G224" s="364"/>
      <c r="H224" s="123" t="str">
        <f>_xlfn.CONCAT(_xlfn.XLOOKUP("[S05_DefaultValues][22][FuelMaterialType]",Submission!$O:$O,Submission!$H:$N,""))</f>
        <v>Bio-oil</v>
      </c>
      <c r="I224" s="106" t="str">
        <f>_xlfn.CONCAT(_xlfn.XLOOKUP("[S05_DefaultValues][22][InstallationNumber]",Submission!$O:$O,Submission!$H:$N,""))</f>
        <v>14</v>
      </c>
    </row>
    <row r="225" spans="1:9" ht="15.9" customHeight="1" x14ac:dyDescent="0.3">
      <c r="A225" s="13"/>
      <c r="B225" s="34"/>
      <c r="C225" s="274" t="str">
        <f>_xlfn.CONCAT(_xlfn.XLOOKUP("[S05_DefaultValues][23][InstallationCategory]",Submission!$O:$O,Submission!$H:$N,""))</f>
        <v>Category A installation</v>
      </c>
      <c r="D225" s="414"/>
      <c r="E225" s="414"/>
      <c r="F225" s="414"/>
      <c r="G225" s="364"/>
      <c r="H225" s="123" t="str">
        <f>_xlfn.CONCAT(_xlfn.XLOOKUP("[S05_DefaultValues][23][FuelMaterialType]",Submission!$O:$O,Submission!$H:$N,""))</f>
        <v>Mixed fossil and biofuel</v>
      </c>
      <c r="I225" s="106" t="str">
        <f>_xlfn.CONCAT(_xlfn.XLOOKUP("[S05_DefaultValues][23][InstallationNumber]",Submission!$O:$O,Submission!$H:$N,""))</f>
        <v>1</v>
      </c>
    </row>
    <row r="226" spans="1:9" ht="15.9" customHeight="1" x14ac:dyDescent="0.3">
      <c r="A226" s="13"/>
      <c r="B226" s="34"/>
      <c r="C226" s="274" t="str">
        <f>_xlfn.CONCAT(_xlfn.XLOOKUP("[S05_DefaultValues][24][InstallationCategory]",Submission!$O:$O,Submission!$H:$N,""))</f>
        <v>Category C installation</v>
      </c>
      <c r="D226" s="414"/>
      <c r="E226" s="414"/>
      <c r="F226" s="414"/>
      <c r="G226" s="364"/>
      <c r="H226" s="123" t="str">
        <f>_xlfn.CONCAT(_xlfn.XLOOKUP("[S05_DefaultValues][24][FuelMaterialType]",Submission!$O:$O,Submission!$H:$N,""))</f>
        <v>Mixed fossil and biofuel</v>
      </c>
      <c r="I226" s="106" t="str">
        <f>_xlfn.CONCAT(_xlfn.XLOOKUP("[S05_DefaultValues][24][InstallationNumber]",Submission!$O:$O,Submission!$H:$N,""))</f>
        <v>1</v>
      </c>
    </row>
    <row r="227" spans="1:9" ht="15.9" customHeight="1" x14ac:dyDescent="0.3">
      <c r="A227" s="13"/>
      <c r="B227" s="34"/>
      <c r="C227" s="274" t="str">
        <f>_xlfn.CONCAT(_xlfn.XLOOKUP("[S05_DefaultValues][25][InstallationCategory]",Submission!$O:$O,Submission!$H:$N,""))</f>
        <v>Installation with low emissions</v>
      </c>
      <c r="D227" s="414"/>
      <c r="E227" s="414"/>
      <c r="F227" s="414"/>
      <c r="G227" s="364"/>
      <c r="H227" s="123" t="str">
        <f>_xlfn.CONCAT(_xlfn.XLOOKUP("[S05_DefaultValues][25][FuelMaterialType]",Submission!$O:$O,Submission!$H:$N,""))</f>
        <v>Butane</v>
      </c>
      <c r="I227" s="106" t="str">
        <f>_xlfn.CONCAT(_xlfn.XLOOKUP("[S05_DefaultValues][25][InstallationNumber]",Submission!$O:$O,Submission!$H:$N,""))</f>
        <v>1</v>
      </c>
    </row>
    <row r="228" spans="1:9" ht="15.9" customHeight="1" x14ac:dyDescent="0.3">
      <c r="A228" s="13"/>
      <c r="B228" s="34"/>
      <c r="C228" s="274" t="str">
        <f>_xlfn.CONCAT(_xlfn.XLOOKUP("[S05_DefaultValues][26][InstallationCategory]",Submission!$O:$O,Submission!$H:$N,""))</f>
        <v>Installation with low emissions</v>
      </c>
      <c r="D228" s="414"/>
      <c r="E228" s="414"/>
      <c r="F228" s="414"/>
      <c r="G228" s="364"/>
      <c r="H228" s="123" t="str">
        <f>_xlfn.CONCAT(_xlfn.XLOOKUP("[S05_DefaultValues][26][FuelMaterialType]",Submission!$O:$O,Submission!$H:$N,""))</f>
        <v>Fuel oil</v>
      </c>
      <c r="I228" s="106" t="str">
        <f>_xlfn.CONCAT(_xlfn.XLOOKUP("[S05_DefaultValues][26][InstallationNumber]",Submission!$O:$O,Submission!$H:$N,""))</f>
        <v>10</v>
      </c>
    </row>
    <row r="229" spans="1:9" ht="15.9" customHeight="1" x14ac:dyDescent="0.3">
      <c r="A229" s="13"/>
      <c r="B229" s="34"/>
      <c r="C229" s="274" t="str">
        <f>_xlfn.CONCAT(_xlfn.XLOOKUP("[S05_DefaultValues][27][InstallationCategory]",Submission!$O:$O,Submission!$H:$N,""))</f>
        <v>Category B installation</v>
      </c>
      <c r="D229" s="414"/>
      <c r="E229" s="414"/>
      <c r="F229" s="414"/>
      <c r="G229" s="364"/>
      <c r="H229" s="123" t="str">
        <f>_xlfn.CONCAT(_xlfn.XLOOKUP("[S05_DefaultValues][27][FuelMaterialType]",Submission!$O:$O,Submission!$H:$N,""))</f>
        <v>Fuel oil</v>
      </c>
      <c r="I229" s="106" t="str">
        <f>_xlfn.CONCAT(_xlfn.XLOOKUP("[S05_DefaultValues][27][InstallationNumber]",Submission!$O:$O,Submission!$H:$N,""))</f>
        <v>3</v>
      </c>
    </row>
    <row r="230" spans="1:9" ht="15.9" customHeight="1" x14ac:dyDescent="0.3">
      <c r="A230" s="13"/>
      <c r="B230" s="34"/>
      <c r="C230" s="274" t="str">
        <f>_xlfn.CONCAT(_xlfn.XLOOKUP("[S05_DefaultValues][28][InstallationCategory]",Submission!$O:$O,Submission!$H:$N,""))</f>
        <v>Category C installation</v>
      </c>
      <c r="D230" s="414"/>
      <c r="E230" s="414"/>
      <c r="F230" s="414"/>
      <c r="G230" s="364"/>
      <c r="H230" s="123" t="str">
        <f>_xlfn.CONCAT(_xlfn.XLOOKUP("[S05_DefaultValues][28][FuelMaterialType]",Submission!$O:$O,Submission!$H:$N,""))</f>
        <v>Fuel oil</v>
      </c>
      <c r="I230" s="106" t="str">
        <f>_xlfn.CONCAT(_xlfn.XLOOKUP("[S05_DefaultValues][28][InstallationNumber]",Submission!$O:$O,Submission!$H:$N,""))</f>
        <v>3</v>
      </c>
    </row>
    <row r="231" spans="1:9" ht="15.9" customHeight="1" x14ac:dyDescent="0.3">
      <c r="A231" s="13"/>
      <c r="B231" s="34"/>
      <c r="C231" s="274" t="str">
        <f>_xlfn.CONCAT(_xlfn.XLOOKUP("[S05_DefaultValues][29][InstallationCategory]",Submission!$O:$O,Submission!$H:$N,""))</f>
        <v>Installation with low emissions</v>
      </c>
      <c r="D231" s="414"/>
      <c r="E231" s="414"/>
      <c r="F231" s="414"/>
      <c r="G231" s="364"/>
      <c r="H231" s="123" t="str">
        <f>_xlfn.CONCAT(_xlfn.XLOOKUP("[S05_DefaultValues][29][FuelMaterialType]",Submission!$O:$O,Submission!$H:$N,""))</f>
        <v>Gas oil</v>
      </c>
      <c r="I231" s="106" t="str">
        <f>_xlfn.CONCAT(_xlfn.XLOOKUP("[S05_DefaultValues][29][InstallationNumber]",Submission!$O:$O,Submission!$H:$N,""))</f>
        <v>175</v>
      </c>
    </row>
    <row r="232" spans="1:9" ht="15.9" customHeight="1" x14ac:dyDescent="0.3">
      <c r="A232" s="13"/>
      <c r="B232" s="34"/>
      <c r="C232" s="274" t="str">
        <f>_xlfn.CONCAT(_xlfn.XLOOKUP("[S05_DefaultValues][30][InstallationCategory]",Submission!$O:$O,Submission!$H:$N,""))</f>
        <v>Category A installation</v>
      </c>
      <c r="D232" s="414"/>
      <c r="E232" s="414"/>
      <c r="F232" s="414"/>
      <c r="G232" s="364"/>
      <c r="H232" s="123" t="str">
        <f>_xlfn.CONCAT(_xlfn.XLOOKUP("[S05_DefaultValues][30][FuelMaterialType]",Submission!$O:$O,Submission!$H:$N,""))</f>
        <v>Gas oil</v>
      </c>
      <c r="I232" s="106" t="str">
        <f>_xlfn.CONCAT(_xlfn.XLOOKUP("[S05_DefaultValues][30][InstallationNumber]",Submission!$O:$O,Submission!$H:$N,""))</f>
        <v>41</v>
      </c>
    </row>
    <row r="233" spans="1:9" ht="15.9" customHeight="1" x14ac:dyDescent="0.3">
      <c r="A233" s="13"/>
      <c r="B233" s="34"/>
      <c r="C233" s="274" t="str">
        <f>_xlfn.CONCAT(_xlfn.XLOOKUP("[S05_DefaultValues][31][InstallationCategory]",Submission!$O:$O,Submission!$H:$N,""))</f>
        <v>Category B installation</v>
      </c>
      <c r="D233" s="414"/>
      <c r="E233" s="414"/>
      <c r="F233" s="414"/>
      <c r="G233" s="364"/>
      <c r="H233" s="123" t="str">
        <f>_xlfn.CONCAT(_xlfn.XLOOKUP("[S05_DefaultValues][31][FuelMaterialType]",Submission!$O:$O,Submission!$H:$N,""))</f>
        <v>Gas oil</v>
      </c>
      <c r="I233" s="106" t="str">
        <f>_xlfn.CONCAT(_xlfn.XLOOKUP("[S05_DefaultValues][31][InstallationNumber]",Submission!$O:$O,Submission!$H:$N,""))</f>
        <v>42</v>
      </c>
    </row>
    <row r="234" spans="1:9" ht="15.9" customHeight="1" x14ac:dyDescent="0.3">
      <c r="A234" s="13"/>
      <c r="B234" s="34"/>
      <c r="C234" s="274" t="str">
        <f>_xlfn.CONCAT(_xlfn.XLOOKUP("[S05_DefaultValues][32][InstallationCategory]",Submission!$O:$O,Submission!$H:$N,""))</f>
        <v>Category C installation</v>
      </c>
      <c r="D234" s="414"/>
      <c r="E234" s="414"/>
      <c r="F234" s="414"/>
      <c r="G234" s="364"/>
      <c r="H234" s="123" t="str">
        <f>_xlfn.CONCAT(_xlfn.XLOOKUP("[S05_DefaultValues][32][FuelMaterialType]",Submission!$O:$O,Submission!$H:$N,""))</f>
        <v>Gas oil</v>
      </c>
      <c r="I234" s="106" t="str">
        <f>_xlfn.CONCAT(_xlfn.XLOOKUP("[S05_DefaultValues][32][InstallationNumber]",Submission!$O:$O,Submission!$H:$N,""))</f>
        <v>6</v>
      </c>
    </row>
    <row r="235" spans="1:9" ht="15.9" customHeight="1" x14ac:dyDescent="0.3">
      <c r="A235" s="13"/>
      <c r="B235" s="34"/>
      <c r="C235" s="274" t="str">
        <f>_xlfn.CONCAT(_xlfn.XLOOKUP("[S05_DefaultValues][33][InstallationCategory]",Submission!$O:$O,Submission!$H:$N,""))</f>
        <v>Installation with low emissions</v>
      </c>
      <c r="D235" s="414"/>
      <c r="E235" s="414"/>
      <c r="F235" s="414"/>
      <c r="G235" s="364"/>
      <c r="H235" s="123" t="str">
        <f>_xlfn.CONCAT(_xlfn.XLOOKUP("[S05_DefaultValues][33][FuelMaterialType]",Submission!$O:$O,Submission!$H:$N,""))</f>
        <v>Straw</v>
      </c>
      <c r="I235" s="106" t="str">
        <f>_xlfn.CONCAT(_xlfn.XLOOKUP("[S05_DefaultValues][33][InstallationNumber]",Submission!$O:$O,Submission!$H:$N,""))</f>
        <v>2</v>
      </c>
    </row>
    <row r="236" spans="1:9" ht="15.9" customHeight="1" x14ac:dyDescent="0.3">
      <c r="A236" s="13"/>
      <c r="B236" s="34"/>
      <c r="C236" s="274" t="str">
        <f>_xlfn.CONCAT(_xlfn.XLOOKUP("[S05_DefaultValues][34][InstallationCategory]",Submission!$O:$O,Submission!$H:$N,""))</f>
        <v>Category A installation</v>
      </c>
      <c r="D236" s="414"/>
      <c r="E236" s="414"/>
      <c r="F236" s="414"/>
      <c r="G236" s="364"/>
      <c r="H236" s="123" t="str">
        <f>_xlfn.CONCAT(_xlfn.XLOOKUP("[S05_DefaultValues][34][FuelMaterialType]",Submission!$O:$O,Submission!$H:$N,""))</f>
        <v>Straw</v>
      </c>
      <c r="I236" s="106" t="str">
        <f>_xlfn.CONCAT(_xlfn.XLOOKUP("[S05_DefaultValues][34][InstallationNumber]",Submission!$O:$O,Submission!$H:$N,""))</f>
        <v>4</v>
      </c>
    </row>
    <row r="237" spans="1:9" ht="15.9" customHeight="1" x14ac:dyDescent="0.3">
      <c r="A237" s="13"/>
      <c r="B237" s="34"/>
      <c r="C237" s="274" t="str">
        <f>_xlfn.CONCAT(_xlfn.XLOOKUP("[S05_DefaultValues][35][InstallationCategory]",Submission!$O:$O,Submission!$H:$N,""))</f>
        <v>Category B installation</v>
      </c>
      <c r="D237" s="414"/>
      <c r="E237" s="414"/>
      <c r="F237" s="414"/>
      <c r="G237" s="364"/>
      <c r="H237" s="123" t="str">
        <f>_xlfn.CONCAT(_xlfn.XLOOKUP("[S05_DefaultValues][35][FuelMaterialType]",Submission!$O:$O,Submission!$H:$N,""))</f>
        <v>Straw</v>
      </c>
      <c r="I237" s="106" t="str">
        <f>_xlfn.CONCAT(_xlfn.XLOOKUP("[S05_DefaultValues][35][InstallationNumber]",Submission!$O:$O,Submission!$H:$N,""))</f>
        <v>8</v>
      </c>
    </row>
    <row r="238" spans="1:9" ht="15.9" customHeight="1" x14ac:dyDescent="0.3">
      <c r="A238" s="13"/>
      <c r="B238" s="34"/>
      <c r="C238" s="274" t="str">
        <f>_xlfn.CONCAT(_xlfn.XLOOKUP("[S05_DefaultValues][36][InstallationCategory]",Submission!$O:$O,Submission!$H:$N,""))</f>
        <v>Category C installation</v>
      </c>
      <c r="D238" s="414"/>
      <c r="E238" s="414"/>
      <c r="F238" s="414"/>
      <c r="G238" s="364"/>
      <c r="H238" s="123" t="str">
        <f>_xlfn.CONCAT(_xlfn.XLOOKUP("[S05_DefaultValues][36][FuelMaterialType]",Submission!$O:$O,Submission!$H:$N,""))</f>
        <v>Straw</v>
      </c>
      <c r="I238" s="106" t="str">
        <f>_xlfn.CONCAT(_xlfn.XLOOKUP("[S05_DefaultValues][36][InstallationNumber]",Submission!$O:$O,Submission!$H:$N,""))</f>
        <v>2</v>
      </c>
    </row>
    <row r="239" spans="1:9" ht="15.9" customHeight="1" x14ac:dyDescent="0.3">
      <c r="A239" s="13"/>
      <c r="B239" s="34"/>
      <c r="C239" s="274" t="str">
        <f>_xlfn.CONCAT(_xlfn.XLOOKUP("[S05_DefaultValues][37][InstallationCategory]",Submission!$O:$O,Submission!$H:$N,""))</f>
        <v>Category A installation</v>
      </c>
      <c r="D239" s="414"/>
      <c r="E239" s="414"/>
      <c r="F239" s="414"/>
      <c r="G239" s="364"/>
      <c r="H239" s="123" t="str">
        <f>_xlfn.CONCAT(_xlfn.XLOOKUP("[S05_DefaultValues][37][FuelMaterialType]",Submission!$O:$O,Submission!$H:$N,""))</f>
        <v>Coke, cinders</v>
      </c>
      <c r="I239" s="106" t="str">
        <f>_xlfn.CONCAT(_xlfn.XLOOKUP("[S05_DefaultValues][37][InstallationNumber]",Submission!$O:$O,Submission!$H:$N,""))</f>
        <v>1</v>
      </c>
    </row>
    <row r="240" spans="1:9" ht="15.9" customHeight="1" x14ac:dyDescent="0.3">
      <c r="A240" s="13"/>
      <c r="B240" s="34"/>
      <c r="C240" s="274" t="str">
        <f>_xlfn.CONCAT(_xlfn.XLOOKUP("[S05_DefaultValues][38][InstallationCategory]",Submission!$O:$O,Submission!$H:$N,""))</f>
        <v>Category B installation</v>
      </c>
      <c r="D240" s="414"/>
      <c r="E240" s="414"/>
      <c r="F240" s="414"/>
      <c r="G240" s="364"/>
      <c r="H240" s="123" t="str">
        <f>_xlfn.CONCAT(_xlfn.XLOOKUP("[S05_DefaultValues][38][FuelMaterialType]",Submission!$O:$O,Submission!$H:$N,""))</f>
        <v>Coke, cinders</v>
      </c>
      <c r="I240" s="106" t="str">
        <f>_xlfn.CONCAT(_xlfn.XLOOKUP("[S05_DefaultValues][38][InstallationNumber]",Submission!$O:$O,Submission!$H:$N,""))</f>
        <v>2</v>
      </c>
    </row>
    <row r="241" spans="1:9" ht="15.9" customHeight="1" x14ac:dyDescent="0.3">
      <c r="A241" s="13"/>
      <c r="B241" s="34"/>
      <c r="C241" s="274" t="str">
        <f>_xlfn.CONCAT(_xlfn.XLOOKUP("[S05_DefaultValues][39][InstallationCategory]",Submission!$O:$O,Submission!$H:$N,""))</f>
        <v>Category B installation</v>
      </c>
      <c r="D241" s="414"/>
      <c r="E241" s="414"/>
      <c r="F241" s="414"/>
      <c r="G241" s="364"/>
      <c r="H241" s="123" t="str">
        <f>_xlfn.CONCAT(_xlfn.XLOOKUP("[S05_DefaultValues][39][FuelMaterialType]",Submission!$O:$O,Submission!$H:$N,""))</f>
        <v>Malting wheat</v>
      </c>
      <c r="I241" s="106" t="str">
        <f>_xlfn.CONCAT(_xlfn.XLOOKUP("[S05_DefaultValues][39][InstallationNumber]",Submission!$O:$O,Submission!$H:$N,""))</f>
        <v>1</v>
      </c>
    </row>
    <row r="242" spans="1:9" ht="15.9" customHeight="1" x14ac:dyDescent="0.3">
      <c r="A242" s="13"/>
      <c r="B242" s="34"/>
      <c r="C242" s="274" t="str">
        <f>_xlfn.CONCAT(_xlfn.XLOOKUP("[S05_DefaultValues][40][InstallationCategory]",Submission!$O:$O,Submission!$H:$N,""))</f>
        <v>Installation with low emissions</v>
      </c>
      <c r="D242" s="414"/>
      <c r="E242" s="414"/>
      <c r="F242" s="414"/>
      <c r="G242" s="364"/>
      <c r="H242" s="123" t="str">
        <f>_xlfn.CONCAT(_xlfn.XLOOKUP("[S05_DefaultValues][40][FuelMaterialType]",Submission!$O:$O,Submission!$H:$N,""))</f>
        <v>Hard coal</v>
      </c>
      <c r="I242" s="106" t="str">
        <f>_xlfn.CONCAT(_xlfn.XLOOKUP("[S05_DefaultValues][40][InstallationNumber]",Submission!$O:$O,Submission!$H:$N,""))</f>
        <v>5</v>
      </c>
    </row>
    <row r="243" spans="1:9" ht="15.9" hidden="1" customHeight="1" outlineLevel="1" x14ac:dyDescent="0.3">
      <c r="A243" s="13"/>
      <c r="B243" s="34"/>
      <c r="C243" s="274" t="str">
        <f>_xlfn.CONCAT(_xlfn.XLOOKUP("[S05_DefaultValues][41][InstallationCategory]",Submission!$O:$O,Submission!$H:$N,""))</f>
        <v>Category A installation</v>
      </c>
      <c r="D243" s="414"/>
      <c r="E243" s="414"/>
      <c r="F243" s="414"/>
      <c r="G243" s="364"/>
      <c r="H243" s="123" t="str">
        <f>_xlfn.CONCAT(_xlfn.XLOOKUP("[S05_DefaultValues][41][FuelMaterialType]",Submission!$O:$O,Submission!$H:$N,""))</f>
        <v>Hard coal</v>
      </c>
      <c r="I243" s="106" t="str">
        <f>_xlfn.CONCAT(_xlfn.XLOOKUP("[S05_DefaultValues][41][InstallationNumber]",Submission!$O:$O,Submission!$H:$N,""))</f>
        <v>2</v>
      </c>
    </row>
    <row r="244" spans="1:9" ht="15.9" hidden="1" customHeight="1" outlineLevel="1" x14ac:dyDescent="0.3">
      <c r="A244" s="13"/>
      <c r="B244" s="34"/>
      <c r="C244" s="274" t="str">
        <f>_xlfn.CONCAT(_xlfn.XLOOKUP("[S05_DefaultValues][42][InstallationCategory]",Submission!$O:$O,Submission!$H:$N,""))</f>
        <v>Category B installation</v>
      </c>
      <c r="D244" s="414"/>
      <c r="E244" s="414"/>
      <c r="F244" s="414"/>
      <c r="G244" s="364"/>
      <c r="H244" s="123" t="str">
        <f>_xlfn.CONCAT(_xlfn.XLOOKUP("[S05_DefaultValues][42][FuelMaterialType]",Submission!$O:$O,Submission!$H:$N,""))</f>
        <v>Hard coal</v>
      </c>
      <c r="I244" s="106" t="str">
        <f>_xlfn.CONCAT(_xlfn.XLOOKUP("[S05_DefaultValues][42][InstallationNumber]",Submission!$O:$O,Submission!$H:$N,""))</f>
        <v>2</v>
      </c>
    </row>
    <row r="245" spans="1:9" ht="15.9" hidden="1" customHeight="1" outlineLevel="1" x14ac:dyDescent="0.3">
      <c r="A245" s="13"/>
      <c r="B245" s="34"/>
      <c r="C245" s="274" t="str">
        <f>_xlfn.CONCAT(_xlfn.XLOOKUP("[S05_DefaultValues][43][InstallationCategory]",Submission!$O:$O,Submission!$H:$N,""))</f>
        <v>Category C installation</v>
      </c>
      <c r="D245" s="414"/>
      <c r="E245" s="414"/>
      <c r="F245" s="414"/>
      <c r="G245" s="364"/>
      <c r="H245" s="123" t="str">
        <f>_xlfn.CONCAT(_xlfn.XLOOKUP("[S05_DefaultValues][43][FuelMaterialType]",Submission!$O:$O,Submission!$H:$N,""))</f>
        <v>Hard coal</v>
      </c>
      <c r="I245" s="106" t="str">
        <f>_xlfn.CONCAT(_xlfn.XLOOKUP("[S05_DefaultValues][43][InstallationNumber]",Submission!$O:$O,Submission!$H:$N,""))</f>
        <v>1</v>
      </c>
    </row>
    <row r="246" spans="1:9" ht="15.9" hidden="1" customHeight="1" outlineLevel="1" x14ac:dyDescent="0.3">
      <c r="A246" s="13"/>
      <c r="B246" s="34"/>
      <c r="C246" s="274" t="str">
        <f>_xlfn.CONCAT(_xlfn.XLOOKUP("[S05_DefaultValues][44][InstallationCategory]",Submission!$O:$O,Submission!$H:$N,""))</f>
        <v>Installation with low emissions</v>
      </c>
      <c r="D246" s="414"/>
      <c r="E246" s="414"/>
      <c r="F246" s="414"/>
      <c r="G246" s="364"/>
      <c r="H246" s="123" t="str">
        <f>_xlfn.CONCAT(_xlfn.XLOOKUP("[S05_DefaultValues][44][FuelMaterialType]",Submission!$O:$O,Submission!$H:$N,""))</f>
        <v>Meat and bone meal</v>
      </c>
      <c r="I246" s="106" t="str">
        <f>_xlfn.CONCAT(_xlfn.XLOOKUP("[S05_DefaultValues][44][InstallationNumber]",Submission!$O:$O,Submission!$H:$N,""))</f>
        <v>1</v>
      </c>
    </row>
    <row r="247" spans="1:9" ht="15.9" hidden="1" customHeight="1" outlineLevel="1" x14ac:dyDescent="0.3">
      <c r="A247" s="13"/>
      <c r="B247" s="34"/>
      <c r="C247" s="274" t="str">
        <f>_xlfn.CONCAT(_xlfn.XLOOKUP("[S05_DefaultValues][45][InstallationCategory]",Submission!$O:$O,Submission!$H:$N,""))</f>
        <v>Category C installation</v>
      </c>
      <c r="D247" s="414"/>
      <c r="E247" s="414"/>
      <c r="F247" s="414"/>
      <c r="G247" s="364"/>
      <c r="H247" s="123" t="str">
        <f>_xlfn.CONCAT(_xlfn.XLOOKUP("[S05_DefaultValues][45][FuelMaterialType]",Submission!$O:$O,Submission!$H:$N,""))</f>
        <v>Meat and bone meal</v>
      </c>
      <c r="I247" s="106" t="str">
        <f>_xlfn.CONCAT(_xlfn.XLOOKUP("[S05_DefaultValues][45][InstallationNumber]",Submission!$O:$O,Submission!$H:$N,""))</f>
        <v>1</v>
      </c>
    </row>
    <row r="248" spans="1:9" ht="15.9" hidden="1" customHeight="1" outlineLevel="1" x14ac:dyDescent="0.3">
      <c r="A248" s="13"/>
      <c r="B248" s="34"/>
      <c r="C248" s="274" t="str">
        <f>_xlfn.CONCAT(_xlfn.XLOOKUP("[S05_DefaultValues][46][InstallationCategory]",Submission!$O:$O,Submission!$H:$N,""))</f>
        <v>Installation with low emissions</v>
      </c>
      <c r="D248" s="414"/>
      <c r="E248" s="414"/>
      <c r="F248" s="414"/>
      <c r="G248" s="364"/>
      <c r="H248" s="123" t="str">
        <f>_xlfn.CONCAT(_xlfn.XLOOKUP("[S05_DefaultValues][46][FuelMaterialType]",Submission!$O:$O,Submission!$H:$N,""))</f>
        <v>Liquefied petroleum gases</v>
      </c>
      <c r="I248" s="106" t="str">
        <f>_xlfn.CONCAT(_xlfn.XLOOKUP("[S05_DefaultValues][46][InstallationNumber]",Submission!$O:$O,Submission!$H:$N,""))</f>
        <v>46</v>
      </c>
    </row>
    <row r="249" spans="1:9" ht="15.9" hidden="1" customHeight="1" outlineLevel="1" x14ac:dyDescent="0.3">
      <c r="A249" s="13"/>
      <c r="B249" s="34"/>
      <c r="C249" s="274" t="str">
        <f>_xlfn.CONCAT(_xlfn.XLOOKUP("[S05_DefaultValues][47][InstallationCategory]",Submission!$O:$O,Submission!$H:$N,""))</f>
        <v>Category A installation</v>
      </c>
      <c r="D249" s="414"/>
      <c r="E249" s="414"/>
      <c r="F249" s="414"/>
      <c r="G249" s="364"/>
      <c r="H249" s="123" t="str">
        <f>_xlfn.CONCAT(_xlfn.XLOOKUP("[S05_DefaultValues][47][FuelMaterialType]",Submission!$O:$O,Submission!$H:$N,""))</f>
        <v>Liquefied petroleum gases</v>
      </c>
      <c r="I249" s="106" t="str">
        <f>_xlfn.CONCAT(_xlfn.XLOOKUP("[S05_DefaultValues][47][InstallationNumber]",Submission!$O:$O,Submission!$H:$N,""))</f>
        <v>6</v>
      </c>
    </row>
    <row r="250" spans="1:9" ht="15.9" hidden="1" customHeight="1" outlineLevel="1" x14ac:dyDescent="0.3">
      <c r="A250" s="13"/>
      <c r="B250" s="34"/>
      <c r="C250" s="274" t="str">
        <f>_xlfn.CONCAT(_xlfn.XLOOKUP("[S05_DefaultValues][48][InstallationCategory]",Submission!$O:$O,Submission!$H:$N,""))</f>
        <v>Category B installation</v>
      </c>
      <c r="D250" s="414"/>
      <c r="E250" s="414"/>
      <c r="F250" s="414"/>
      <c r="G250" s="364"/>
      <c r="H250" s="123" t="str">
        <f>_xlfn.CONCAT(_xlfn.XLOOKUP("[S05_DefaultValues][48][FuelMaterialType]",Submission!$O:$O,Submission!$H:$N,""))</f>
        <v>Liquefied petroleum gases</v>
      </c>
      <c r="I250" s="106" t="str">
        <f>_xlfn.CONCAT(_xlfn.XLOOKUP("[S05_DefaultValues][48][InstallationNumber]",Submission!$O:$O,Submission!$H:$N,""))</f>
        <v>6</v>
      </c>
    </row>
    <row r="251" spans="1:9" ht="15.9" hidden="1" customHeight="1" outlineLevel="1" x14ac:dyDescent="0.3">
      <c r="A251" s="13"/>
      <c r="B251" s="34"/>
      <c r="C251" s="274" t="str">
        <f>_xlfn.CONCAT(_xlfn.XLOOKUP("[S05_DefaultValues][49][InstallationCategory]",Submission!$O:$O,Submission!$H:$N,""))</f>
        <v>Category C installation</v>
      </c>
      <c r="D251" s="414"/>
      <c r="E251" s="414"/>
      <c r="F251" s="414"/>
      <c r="G251" s="364"/>
      <c r="H251" s="123" t="str">
        <f>_xlfn.CONCAT(_xlfn.XLOOKUP("[S05_DefaultValues][49][FuelMaterialType]",Submission!$O:$O,Submission!$H:$N,""))</f>
        <v>Liquefied petroleum gases</v>
      </c>
      <c r="I251" s="106" t="str">
        <f>_xlfn.CONCAT(_xlfn.XLOOKUP("[S05_DefaultValues][49][InstallationNumber]",Submission!$O:$O,Submission!$H:$N,""))</f>
        <v>2</v>
      </c>
    </row>
    <row r="252" spans="1:9" ht="15.9" hidden="1" customHeight="1" outlineLevel="1" x14ac:dyDescent="0.3">
      <c r="A252" s="13"/>
      <c r="B252" s="34"/>
      <c r="C252" s="274" t="str">
        <f>_xlfn.CONCAT(_xlfn.XLOOKUP("[S05_DefaultValues][50][InstallationCategory]",Submission!$O:$O,Submission!$H:$N,""))</f>
        <v>Installation with low emissions</v>
      </c>
      <c r="D252" s="414"/>
      <c r="E252" s="414"/>
      <c r="F252" s="414"/>
      <c r="G252" s="364"/>
      <c r="H252" s="123" t="str">
        <f>_xlfn.CONCAT(_xlfn.XLOOKUP("[S05_DefaultValues][50][FuelMaterialType]",Submission!$O:$O,Submission!$H:$N,""))</f>
        <v>Material - other carbon materials</v>
      </c>
      <c r="I252" s="106" t="str">
        <f>_xlfn.CONCAT(_xlfn.XLOOKUP("[S05_DefaultValues][50][InstallationNumber]",Submission!$O:$O,Submission!$H:$N,""))</f>
        <v>3</v>
      </c>
    </row>
    <row r="253" spans="1:9" ht="15.9" hidden="1" customHeight="1" outlineLevel="1" x14ac:dyDescent="0.3">
      <c r="A253" s="13"/>
      <c r="B253" s="34"/>
      <c r="C253" s="274" t="str">
        <f>_xlfn.CONCAT(_xlfn.XLOOKUP("[S05_DefaultValues][51][InstallationCategory]",Submission!$O:$O,Submission!$H:$N,""))</f>
        <v>Category B installation</v>
      </c>
      <c r="D253" s="414"/>
      <c r="E253" s="414"/>
      <c r="F253" s="414"/>
      <c r="G253" s="364"/>
      <c r="H253" s="123" t="str">
        <f>_xlfn.CONCAT(_xlfn.XLOOKUP("[S05_DefaultValues][51][FuelMaterialType]",Submission!$O:$O,Submission!$H:$N,""))</f>
        <v>Material - other carbon materials</v>
      </c>
      <c r="I253" s="106" t="str">
        <f>_xlfn.CONCAT(_xlfn.XLOOKUP("[S05_DefaultValues][51][InstallationNumber]",Submission!$O:$O,Submission!$H:$N,""))</f>
        <v>1</v>
      </c>
    </row>
    <row r="254" spans="1:9" ht="15.9" hidden="1" customHeight="1" outlineLevel="1" x14ac:dyDescent="0.3">
      <c r="A254" s="13"/>
      <c r="B254" s="34"/>
      <c r="C254" s="274" t="str">
        <f>_xlfn.CONCAT(_xlfn.XLOOKUP("[S05_DefaultValues][52][InstallationCategory]",Submission!$O:$O,Submission!$H:$N,""))</f>
        <v>Category C installation</v>
      </c>
      <c r="D254" s="414"/>
      <c r="E254" s="414"/>
      <c r="F254" s="414"/>
      <c r="G254" s="364"/>
      <c r="H254" s="123" t="str">
        <f>_xlfn.CONCAT(_xlfn.XLOOKUP("[S05_DefaultValues][52][FuelMaterialType]",Submission!$O:$O,Submission!$H:$N,""))</f>
        <v>Material - other carbon materials</v>
      </c>
      <c r="I254" s="106" t="str">
        <f>_xlfn.CONCAT(_xlfn.XLOOKUP("[S05_DefaultValues][52][InstallationNumber]",Submission!$O:$O,Submission!$H:$N,""))</f>
        <v>2</v>
      </c>
    </row>
    <row r="255" spans="1:9" ht="15.9" hidden="1" customHeight="1" outlineLevel="1" x14ac:dyDescent="0.3">
      <c r="A255" s="13"/>
      <c r="B255" s="34"/>
      <c r="C255" s="274" t="str">
        <f>_xlfn.CONCAT(_xlfn.XLOOKUP("[S05_DefaultValues][53][InstallationCategory]",Submission!$O:$O,Submission!$H:$N,""))</f>
        <v>Category C installation</v>
      </c>
      <c r="D255" s="414"/>
      <c r="E255" s="414"/>
      <c r="F255" s="414"/>
      <c r="G255" s="364"/>
      <c r="H255" s="123" t="str">
        <f>_xlfn.CONCAT(_xlfn.XLOOKUP("[S05_DefaultValues][53][FuelMaterialType]",Submission!$O:$O,Submission!$H:$N,""))</f>
        <v>Material - Bypass material</v>
      </c>
      <c r="I255" s="106" t="str">
        <f>_xlfn.CONCAT(_xlfn.XLOOKUP("[S05_DefaultValues][53][InstallationNumber]",Submission!$O:$O,Submission!$H:$N,""))</f>
        <v>4</v>
      </c>
    </row>
    <row r="256" spans="1:9" ht="15.9" hidden="1" customHeight="1" outlineLevel="1" x14ac:dyDescent="0.3">
      <c r="A256" s="13"/>
      <c r="B256" s="34"/>
      <c r="C256" s="274" t="str">
        <f>_xlfn.CONCAT(_xlfn.XLOOKUP("[S05_DefaultValues][54][InstallationCategory]",Submission!$O:$O,Submission!$H:$N,""))</f>
        <v>Installation with low emissions</v>
      </c>
      <c r="D256" s="414"/>
      <c r="E256" s="414"/>
      <c r="F256" s="414"/>
      <c r="G256" s="364"/>
      <c r="H256" s="123" t="str">
        <f>_xlfn.CONCAT(_xlfn.XLOOKUP("[S05_DefaultValues][54][FuelMaterialType]",Submission!$O:$O,Submission!$H:$N,""))</f>
        <v>Material - CaCO3</v>
      </c>
      <c r="I256" s="106" t="str">
        <f>_xlfn.CONCAT(_xlfn.XLOOKUP("[S05_DefaultValues][54][InstallationNumber]",Submission!$O:$O,Submission!$H:$N,""))</f>
        <v>4</v>
      </c>
    </row>
    <row r="257" spans="1:9" ht="15.9" hidden="1" customHeight="1" outlineLevel="1" x14ac:dyDescent="0.3">
      <c r="A257" s="13"/>
      <c r="B257" s="34"/>
      <c r="C257" s="274" t="str">
        <f>_xlfn.CONCAT(_xlfn.XLOOKUP("[S05_DefaultValues][55][InstallationCategory]",Submission!$O:$O,Submission!$H:$N,""))</f>
        <v>Category A installation</v>
      </c>
      <c r="D257" s="414"/>
      <c r="E257" s="414"/>
      <c r="F257" s="414"/>
      <c r="G257" s="364"/>
      <c r="H257" s="123" t="str">
        <f>_xlfn.CONCAT(_xlfn.XLOOKUP("[S05_DefaultValues][55][FuelMaterialType]",Submission!$O:$O,Submission!$H:$N,""))</f>
        <v>Material - CaCO3</v>
      </c>
      <c r="I257" s="106" t="str">
        <f>_xlfn.CONCAT(_xlfn.XLOOKUP("[S05_DefaultValues][55][InstallationNumber]",Submission!$O:$O,Submission!$H:$N,""))</f>
        <v>2</v>
      </c>
    </row>
    <row r="258" spans="1:9" ht="15.9" hidden="1" customHeight="1" outlineLevel="1" x14ac:dyDescent="0.3">
      <c r="A258" s="13"/>
      <c r="B258" s="34"/>
      <c r="C258" s="274" t="str">
        <f>_xlfn.CONCAT(_xlfn.XLOOKUP("[S05_DefaultValues][56][InstallationCategory]",Submission!$O:$O,Submission!$H:$N,""))</f>
        <v>Category B installation</v>
      </c>
      <c r="D258" s="414"/>
      <c r="E258" s="414"/>
      <c r="F258" s="414"/>
      <c r="G258" s="364"/>
      <c r="H258" s="123" t="str">
        <f>_xlfn.CONCAT(_xlfn.XLOOKUP("[S05_DefaultValues][56][FuelMaterialType]",Submission!$O:$O,Submission!$H:$N,""))</f>
        <v>Material - CaCO3</v>
      </c>
      <c r="I258" s="106" t="str">
        <f>_xlfn.CONCAT(_xlfn.XLOOKUP("[S05_DefaultValues][56][InstallationNumber]",Submission!$O:$O,Submission!$H:$N,""))</f>
        <v>5</v>
      </c>
    </row>
    <row r="259" spans="1:9" ht="15.9" hidden="1" customHeight="1" outlineLevel="1" x14ac:dyDescent="0.3">
      <c r="A259" s="13"/>
      <c r="B259" s="34"/>
      <c r="C259" s="274" t="str">
        <f>_xlfn.CONCAT(_xlfn.XLOOKUP("[S05_DefaultValues][57][InstallationCategory]",Submission!$O:$O,Submission!$H:$N,""))</f>
        <v>Category C installation</v>
      </c>
      <c r="D259" s="414"/>
      <c r="E259" s="414"/>
      <c r="F259" s="414"/>
      <c r="G259" s="364"/>
      <c r="H259" s="123" t="str">
        <f>_xlfn.CONCAT(_xlfn.XLOOKUP("[S05_DefaultValues][57][FuelMaterialType]",Submission!$O:$O,Submission!$H:$N,""))</f>
        <v>Material - CaCO3</v>
      </c>
      <c r="I259" s="106" t="str">
        <f>_xlfn.CONCAT(_xlfn.XLOOKUP("[S05_DefaultValues][57][InstallationNumber]",Submission!$O:$O,Submission!$H:$N,""))</f>
        <v>2</v>
      </c>
    </row>
    <row r="260" spans="1:9" ht="15.9" hidden="1" customHeight="1" outlineLevel="1" x14ac:dyDescent="0.3">
      <c r="A260" s="13"/>
      <c r="B260" s="34"/>
      <c r="C260" s="274" t="str">
        <f>_xlfn.CONCAT(_xlfn.XLOOKUP("[S05_DefaultValues][58][InstallationCategory]",Submission!$O:$O,Submission!$H:$N,""))</f>
        <v>Installation with low emissions</v>
      </c>
      <c r="D260" s="414"/>
      <c r="E260" s="414"/>
      <c r="F260" s="414"/>
      <c r="G260" s="364"/>
      <c r="H260" s="123" t="str">
        <f>_xlfn.CONCAT(_xlfn.XLOOKUP("[S05_DefaultValues][58][FuelMaterialType]",Submission!$O:$O,Submission!$H:$N,""))</f>
        <v>Material - Dolomite</v>
      </c>
      <c r="I260" s="106" t="str">
        <f>_xlfn.CONCAT(_xlfn.XLOOKUP("[S05_DefaultValues][58][InstallationNumber]",Submission!$O:$O,Submission!$H:$N,""))</f>
        <v>2</v>
      </c>
    </row>
    <row r="261" spans="1:9" ht="15.9" hidden="1" customHeight="1" outlineLevel="1" x14ac:dyDescent="0.3">
      <c r="A261" s="13"/>
      <c r="B261" s="34"/>
      <c r="C261" s="274" t="str">
        <f>_xlfn.CONCAT(_xlfn.XLOOKUP("[S05_DefaultValues][59][InstallationCategory]",Submission!$O:$O,Submission!$H:$N,""))</f>
        <v>Category A installation</v>
      </c>
      <c r="D261" s="414"/>
      <c r="E261" s="414"/>
      <c r="F261" s="414"/>
      <c r="G261" s="364"/>
      <c r="H261" s="123" t="str">
        <f>_xlfn.CONCAT(_xlfn.XLOOKUP("[S05_DefaultValues][59][FuelMaterialType]",Submission!$O:$O,Submission!$H:$N,""))</f>
        <v>Material - Dolomite</v>
      </c>
      <c r="I261" s="106" t="str">
        <f>_xlfn.CONCAT(_xlfn.XLOOKUP("[S05_DefaultValues][59][InstallationNumber]",Submission!$O:$O,Submission!$H:$N,""))</f>
        <v>1</v>
      </c>
    </row>
    <row r="262" spans="1:9" ht="15.9" hidden="1" customHeight="1" outlineLevel="1" x14ac:dyDescent="0.3">
      <c r="A262" s="13"/>
      <c r="B262" s="34"/>
      <c r="C262" s="274" t="str">
        <f>_xlfn.CONCAT(_xlfn.XLOOKUP("[S05_DefaultValues][60][InstallationCategory]",Submission!$O:$O,Submission!$H:$N,""))</f>
        <v>Category B installation</v>
      </c>
      <c r="D262" s="414"/>
      <c r="E262" s="414"/>
      <c r="F262" s="414"/>
      <c r="G262" s="364"/>
      <c r="H262" s="123" t="str">
        <f>_xlfn.CONCAT(_xlfn.XLOOKUP("[S05_DefaultValues][60][FuelMaterialType]",Submission!$O:$O,Submission!$H:$N,""))</f>
        <v>Material - Dolomite</v>
      </c>
      <c r="I262" s="106" t="str">
        <f>_xlfn.CONCAT(_xlfn.XLOOKUP("[S05_DefaultValues][60][InstallationNumber]",Submission!$O:$O,Submission!$H:$N,""))</f>
        <v>1</v>
      </c>
    </row>
    <row r="263" spans="1:9" ht="15.9" hidden="1" customHeight="1" outlineLevel="1" x14ac:dyDescent="0.3">
      <c r="A263" s="13"/>
      <c r="B263" s="34"/>
      <c r="C263" s="274" t="str">
        <f>_xlfn.CONCAT(_xlfn.XLOOKUP("[S05_DefaultValues][61][InstallationCategory]",Submission!$O:$O,Submission!$H:$N,""))</f>
        <v>Installation with low emissions</v>
      </c>
      <c r="D263" s="414"/>
      <c r="E263" s="414"/>
      <c r="F263" s="414"/>
      <c r="G263" s="364"/>
      <c r="H263" s="123" t="str">
        <f>_xlfn.CONCAT(_xlfn.XLOOKUP("[S05_DefaultValues][61][FuelMaterialType]",Submission!$O:$O,Submission!$H:$N,""))</f>
        <v>Material - Na2CO3</v>
      </c>
      <c r="I263" s="106" t="str">
        <f>_xlfn.CONCAT(_xlfn.XLOOKUP("[S05_DefaultValues][61][InstallationNumber]",Submission!$O:$O,Submission!$H:$N,""))</f>
        <v>2</v>
      </c>
    </row>
    <row r="264" spans="1:9" ht="15.9" hidden="1" customHeight="1" outlineLevel="1" x14ac:dyDescent="0.3">
      <c r="A264" s="13"/>
      <c r="B264" s="34"/>
      <c r="C264" s="274" t="str">
        <f>_xlfn.CONCAT(_xlfn.XLOOKUP("[S05_DefaultValues][62][InstallationCategory]",Submission!$O:$O,Submission!$H:$N,""))</f>
        <v>Category B installation</v>
      </c>
      <c r="D264" s="414"/>
      <c r="E264" s="414"/>
      <c r="F264" s="414"/>
      <c r="G264" s="364"/>
      <c r="H264" s="123" t="str">
        <f>_xlfn.CONCAT(_xlfn.XLOOKUP("[S05_DefaultValues][62][FuelMaterialType]",Submission!$O:$O,Submission!$H:$N,""))</f>
        <v>Material - Na2CO3</v>
      </c>
      <c r="I264" s="106" t="str">
        <f>_xlfn.CONCAT(_xlfn.XLOOKUP("[S05_DefaultValues][62][InstallationNumber]",Submission!$O:$O,Submission!$H:$N,""))</f>
        <v>1</v>
      </c>
    </row>
    <row r="265" spans="1:9" ht="15.9" hidden="1" customHeight="1" outlineLevel="1" x14ac:dyDescent="0.3">
      <c r="A265" s="13"/>
      <c r="B265" s="34"/>
      <c r="C265" s="274" t="str">
        <f>_xlfn.CONCAT(_xlfn.XLOOKUP("[S05_DefaultValues][63][InstallationCategory]",Submission!$O:$O,Submission!$H:$N,""))</f>
        <v>Category C installation</v>
      </c>
      <c r="D265" s="414"/>
      <c r="E265" s="414"/>
      <c r="F265" s="414"/>
      <c r="G265" s="364"/>
      <c r="H265" s="123" t="str">
        <f>_xlfn.CONCAT(_xlfn.XLOOKUP("[S05_DefaultValues][63][FuelMaterialType]",Submission!$O:$O,Submission!$H:$N,""))</f>
        <v>Material - Raw materials</v>
      </c>
      <c r="I265" s="106" t="str">
        <f>_xlfn.CONCAT(_xlfn.XLOOKUP("[S05_DefaultValues][63][InstallationNumber]",Submission!$O:$O,Submission!$H:$N,""))</f>
        <v>8</v>
      </c>
    </row>
    <row r="266" spans="1:9" ht="15.9" hidden="1" customHeight="1" outlineLevel="1" x14ac:dyDescent="0.3">
      <c r="A266" s="13"/>
      <c r="B266" s="34"/>
      <c r="C266" s="274" t="str">
        <f>_xlfn.CONCAT(_xlfn.XLOOKUP("[S05_DefaultValues][64][InstallationCategory]",Submission!$O:$O,Submission!$H:$N,""))</f>
        <v>Category A installation</v>
      </c>
      <c r="D266" s="414"/>
      <c r="E266" s="414"/>
      <c r="F266" s="414"/>
      <c r="G266" s="364"/>
      <c r="H266" s="123" t="str">
        <f>_xlfn.CONCAT(_xlfn.XLOOKUP("[S05_DefaultValues][64][FuelMaterialType]",Submission!$O:$O,Submission!$H:$N,""))</f>
        <v>Methanol</v>
      </c>
      <c r="I266" s="106" t="str">
        <f>_xlfn.CONCAT(_xlfn.XLOOKUP("[S05_DefaultValues][64][InstallationNumber]",Submission!$O:$O,Submission!$H:$N,""))</f>
        <v>1</v>
      </c>
    </row>
    <row r="267" spans="1:9" ht="15.9" hidden="1" customHeight="1" outlineLevel="1" x14ac:dyDescent="0.3">
      <c r="A267" s="13"/>
      <c r="B267" s="34"/>
      <c r="C267" s="274" t="str">
        <f>_xlfn.CONCAT(_xlfn.XLOOKUP("[S05_DefaultValues][65][InstallationCategory]",Submission!$O:$O,Submission!$H:$N,""))</f>
        <v>Installation with low emissions</v>
      </c>
      <c r="D267" s="414"/>
      <c r="E267" s="414"/>
      <c r="F267" s="414"/>
      <c r="G267" s="364"/>
      <c r="H267" s="123" t="str">
        <f>_xlfn.CONCAT(_xlfn.XLOOKUP("[S05_DefaultValues][65][FuelMaterialType]",Submission!$O:$O,Submission!$H:$N,""))</f>
        <v>Natural gas from gas grid</v>
      </c>
      <c r="I267" s="106" t="str">
        <f>_xlfn.CONCAT(_xlfn.XLOOKUP("[S05_DefaultValues][65][InstallationNumber]",Submission!$O:$O,Submission!$H:$N,""))</f>
        <v>15</v>
      </c>
    </row>
    <row r="268" spans="1:9" ht="15.9" hidden="1" customHeight="1" outlineLevel="1" x14ac:dyDescent="0.3">
      <c r="A268" s="13"/>
      <c r="B268" s="34"/>
      <c r="C268" s="274" t="str">
        <f>_xlfn.CONCAT(_xlfn.XLOOKUP("[S05_DefaultValues][66][InstallationCategory]",Submission!$O:$O,Submission!$H:$N,""))</f>
        <v>Category B installation</v>
      </c>
      <c r="D268" s="414"/>
      <c r="E268" s="414"/>
      <c r="F268" s="414"/>
      <c r="G268" s="364"/>
      <c r="H268" s="123" t="str">
        <f>_xlfn.CONCAT(_xlfn.XLOOKUP("[S05_DefaultValues][66][FuelMaterialType]",Submission!$O:$O,Submission!$H:$N,""))</f>
        <v>Natural gas from gas grid</v>
      </c>
      <c r="I268" s="106" t="str">
        <f>_xlfn.CONCAT(_xlfn.XLOOKUP("[S05_DefaultValues][66][InstallationNumber]",Submission!$O:$O,Submission!$H:$N,""))</f>
        <v>8</v>
      </c>
    </row>
    <row r="269" spans="1:9" ht="15.9" hidden="1" customHeight="1" outlineLevel="1" x14ac:dyDescent="0.3">
      <c r="A269" s="13"/>
      <c r="B269" s="34"/>
      <c r="C269" s="274" t="str">
        <f>_xlfn.CONCAT(_xlfn.XLOOKUP("[S05_DefaultValues][67][InstallationCategory]",Submission!$O:$O,Submission!$H:$N,""))</f>
        <v>Installation with low emissions</v>
      </c>
      <c r="D269" s="414"/>
      <c r="E269" s="414"/>
      <c r="F269" s="414"/>
      <c r="G269" s="364"/>
      <c r="H269" s="123" t="str">
        <f>_xlfn.CONCAT(_xlfn.XLOOKUP("[S05_DefaultValues][67][FuelMaterialType]",Submission!$O:$O,Submission!$H:$N,""))</f>
        <v>Petroleum coke</v>
      </c>
      <c r="I269" s="106" t="str">
        <f>_xlfn.CONCAT(_xlfn.XLOOKUP("[S05_DefaultValues][67][InstallationNumber]",Submission!$O:$O,Submission!$H:$N,""))</f>
        <v>4</v>
      </c>
    </row>
    <row r="270" spans="1:9" ht="15.9" hidden="1" customHeight="1" outlineLevel="1" x14ac:dyDescent="0.3">
      <c r="A270" s="13"/>
      <c r="B270" s="34"/>
      <c r="C270" s="274" t="str">
        <f>_xlfn.CONCAT(_xlfn.XLOOKUP("[S05_DefaultValues][68][InstallationCategory]",Submission!$O:$O,Submission!$H:$N,""))</f>
        <v>Installation with low emissions</v>
      </c>
      <c r="D270" s="414"/>
      <c r="E270" s="414"/>
      <c r="F270" s="414"/>
      <c r="G270" s="364"/>
      <c r="H270" s="123" t="str">
        <f>_xlfn.CONCAT(_xlfn.XLOOKUP("[S05_DefaultValues][68][FuelMaterialType]",Submission!$O:$O,Submission!$H:$N,""))</f>
        <v>Rapeseed oil</v>
      </c>
      <c r="I270" s="106" t="str">
        <f>_xlfn.CONCAT(_xlfn.XLOOKUP("[S05_DefaultValues][68][InstallationNumber]",Submission!$O:$O,Submission!$H:$N,""))</f>
        <v>2</v>
      </c>
    </row>
    <row r="271" spans="1:9" ht="15.9" hidden="1" customHeight="1" outlineLevel="1" x14ac:dyDescent="0.3">
      <c r="A271" s="13"/>
      <c r="B271" s="34"/>
      <c r="C271" s="274" t="str">
        <f>_xlfn.CONCAT(_xlfn.XLOOKUP("[S05_DefaultValues][69][InstallationCategory]",Submission!$O:$O,Submission!$H:$N,""))</f>
        <v>Installation with low emissions</v>
      </c>
      <c r="D271" s="414"/>
      <c r="E271" s="414"/>
      <c r="F271" s="414"/>
      <c r="G271" s="364"/>
      <c r="H271" s="123" t="str">
        <f>_xlfn.CONCAT(_xlfn.XLOOKUP("[S05_DefaultValues][69][FuelMaterialType]",Submission!$O:$O,Submission!$H:$N,""))</f>
        <v>Wood chips</v>
      </c>
      <c r="I271" s="106" t="str">
        <f>_xlfn.CONCAT(_xlfn.XLOOKUP("[S05_DefaultValues][69][InstallationNumber]",Submission!$O:$O,Submission!$H:$N,""))</f>
        <v>23</v>
      </c>
    </row>
    <row r="272" spans="1:9" ht="15.9" hidden="1" customHeight="1" outlineLevel="1" x14ac:dyDescent="0.3">
      <c r="A272" s="13"/>
      <c r="B272" s="34"/>
      <c r="C272" s="274" t="str">
        <f>_xlfn.CONCAT(_xlfn.XLOOKUP("[S05_DefaultValues][70][InstallationCategory]",Submission!$O:$O,Submission!$H:$N,""))</f>
        <v>Category A installation</v>
      </c>
      <c r="D272" s="414"/>
      <c r="E272" s="414"/>
      <c r="F272" s="414"/>
      <c r="G272" s="364"/>
      <c r="H272" s="123" t="str">
        <f>_xlfn.CONCAT(_xlfn.XLOOKUP("[S05_DefaultValues][70][FuelMaterialType]",Submission!$O:$O,Submission!$H:$N,""))</f>
        <v>Wood chips</v>
      </c>
      <c r="I272" s="106" t="str">
        <f>_xlfn.CONCAT(_xlfn.XLOOKUP("[S05_DefaultValues][70][InstallationNumber]",Submission!$O:$O,Submission!$H:$N,""))</f>
        <v>4</v>
      </c>
    </row>
    <row r="273" spans="1:9" ht="15.9" hidden="1" customHeight="1" outlineLevel="1" x14ac:dyDescent="0.3">
      <c r="A273" s="13"/>
      <c r="B273" s="34"/>
      <c r="C273" s="274" t="str">
        <f>_xlfn.CONCAT(_xlfn.XLOOKUP("[S05_DefaultValues][71][InstallationCategory]",Submission!$O:$O,Submission!$H:$N,""))</f>
        <v>Category B installation</v>
      </c>
      <c r="D273" s="414"/>
      <c r="E273" s="414"/>
      <c r="F273" s="414"/>
      <c r="G273" s="364"/>
      <c r="H273" s="123" t="str">
        <f>_xlfn.CONCAT(_xlfn.XLOOKUP("[S05_DefaultValues][71][FuelMaterialType]",Submission!$O:$O,Submission!$H:$N,""))</f>
        <v>Wood chips</v>
      </c>
      <c r="I273" s="106" t="str">
        <f>_xlfn.CONCAT(_xlfn.XLOOKUP("[S05_DefaultValues][71][InstallationNumber]",Submission!$O:$O,Submission!$H:$N,""))</f>
        <v>8</v>
      </c>
    </row>
    <row r="274" spans="1:9" ht="15.9" hidden="1" customHeight="1" outlineLevel="1" x14ac:dyDescent="0.3">
      <c r="A274" s="13"/>
      <c r="B274" s="34"/>
      <c r="C274" s="274" t="str">
        <f>_xlfn.CONCAT(_xlfn.XLOOKUP("[S05_DefaultValues][72][InstallationCategory]",Submission!$O:$O,Submission!$H:$N,""))</f>
        <v>Category C installation</v>
      </c>
      <c r="D274" s="414"/>
      <c r="E274" s="414"/>
      <c r="F274" s="414"/>
      <c r="G274" s="364"/>
      <c r="H274" s="123" t="str">
        <f>_xlfn.CONCAT(_xlfn.XLOOKUP("[S05_DefaultValues][72][FuelMaterialType]",Submission!$O:$O,Submission!$H:$N,""))</f>
        <v>Wood chips</v>
      </c>
      <c r="I274" s="106" t="str">
        <f>_xlfn.CONCAT(_xlfn.XLOOKUP("[S05_DefaultValues][72][InstallationNumber]",Submission!$O:$O,Submission!$H:$N,""))</f>
        <v>1</v>
      </c>
    </row>
    <row r="275" spans="1:9" ht="15.9" hidden="1" customHeight="1" outlineLevel="1" x14ac:dyDescent="0.3">
      <c r="A275" s="13"/>
      <c r="B275" s="34"/>
      <c r="C275" s="274" t="str">
        <f>_xlfn.CONCAT(_xlfn.XLOOKUP("[S05_DefaultValues][73][InstallationCategory]",Submission!$O:$O,Submission!$H:$N,""))</f>
        <v>Installation with low emissions</v>
      </c>
      <c r="D275" s="414"/>
      <c r="E275" s="414"/>
      <c r="F275" s="414"/>
      <c r="G275" s="364"/>
      <c r="H275" s="123" t="str">
        <f>_xlfn.CONCAT(_xlfn.XLOOKUP("[S05_DefaultValues][73][FuelMaterialType]",Submission!$O:$O,Submission!$H:$N,""))</f>
        <v>Waste oil</v>
      </c>
      <c r="I275" s="106" t="str">
        <f>_xlfn.CONCAT(_xlfn.XLOOKUP("[S05_DefaultValues][73][InstallationNumber]",Submission!$O:$O,Submission!$H:$N,""))</f>
        <v>1</v>
      </c>
    </row>
    <row r="276" spans="1:9" ht="15.9" hidden="1" customHeight="1" outlineLevel="1" x14ac:dyDescent="0.3">
      <c r="A276" s="13"/>
      <c r="B276" s="34"/>
      <c r="C276" s="274" t="str">
        <f>_xlfn.CONCAT(_xlfn.XLOOKUP("[S05_DefaultValues][74][InstallationCategory]",Submission!$O:$O,Submission!$H:$N,""))</f>
        <v>Category A installation</v>
      </c>
      <c r="D276" s="414"/>
      <c r="E276" s="414"/>
      <c r="F276" s="414"/>
      <c r="G276" s="364"/>
      <c r="H276" s="123" t="str">
        <f>_xlfn.CONCAT(_xlfn.XLOOKUP("[S05_DefaultValues][74][FuelMaterialType]",Submission!$O:$O,Submission!$H:$N,""))</f>
        <v>Waste oil</v>
      </c>
      <c r="I276" s="106" t="str">
        <f>_xlfn.CONCAT(_xlfn.XLOOKUP("[S05_DefaultValues][74][InstallationNumber]",Submission!$O:$O,Submission!$H:$N,""))</f>
        <v>1</v>
      </c>
    </row>
    <row r="277" spans="1:9" ht="15.9" hidden="1" customHeight="1" outlineLevel="1" x14ac:dyDescent="0.3">
      <c r="A277" s="13"/>
      <c r="B277" s="34"/>
      <c r="C277" s="274" t="str">
        <f>_xlfn.CONCAT(_xlfn.XLOOKUP("[S05_DefaultValues][75][InstallationCategory]",Submission!$O:$O,Submission!$H:$N,""))</f>
        <v>Installation with low emissions</v>
      </c>
      <c r="D277" s="414"/>
      <c r="E277" s="414"/>
      <c r="F277" s="414"/>
      <c r="G277" s="364"/>
      <c r="H277" s="123" t="str">
        <f>_xlfn.CONCAT(_xlfn.XLOOKUP("[S05_DefaultValues][75][FuelMaterialType]",Submission!$O:$O,Submission!$H:$N,""))</f>
        <v>Wood waste</v>
      </c>
      <c r="I277" s="106" t="str">
        <f>_xlfn.CONCAT(_xlfn.XLOOKUP("[S05_DefaultValues][75][InstallationNumber]",Submission!$O:$O,Submission!$H:$N,""))</f>
        <v>11</v>
      </c>
    </row>
    <row r="278" spans="1:9" ht="15.9" hidden="1" customHeight="1" outlineLevel="1" x14ac:dyDescent="0.3">
      <c r="A278" s="13"/>
      <c r="B278" s="34"/>
      <c r="C278" s="274" t="str">
        <f>_xlfn.CONCAT(_xlfn.XLOOKUP("[S05_DefaultValues][76][InstallationCategory]",Submission!$O:$O,Submission!$H:$N,""))</f>
        <v>Category A installation</v>
      </c>
      <c r="D278" s="414"/>
      <c r="E278" s="414"/>
      <c r="F278" s="414"/>
      <c r="G278" s="364"/>
      <c r="H278" s="123" t="str">
        <f>_xlfn.CONCAT(_xlfn.XLOOKUP("[S05_DefaultValues][76][FuelMaterialType]",Submission!$O:$O,Submission!$H:$N,""))</f>
        <v>Wood waste</v>
      </c>
      <c r="I278" s="106" t="str">
        <f>_xlfn.CONCAT(_xlfn.XLOOKUP("[S05_DefaultValues][76][InstallationNumber]",Submission!$O:$O,Submission!$H:$N,""))</f>
        <v>2</v>
      </c>
    </row>
    <row r="279" spans="1:9" ht="15.9" hidden="1" customHeight="1" outlineLevel="1" x14ac:dyDescent="0.3">
      <c r="A279" s="13"/>
      <c r="B279" s="34"/>
      <c r="C279" s="274" t="str">
        <f>_xlfn.CONCAT(_xlfn.XLOOKUP("[S05_DefaultValues][77][InstallationCategory]",Submission!$O:$O,Submission!$H:$N,""))</f>
        <v>Category B installation</v>
      </c>
      <c r="D279" s="414"/>
      <c r="E279" s="414"/>
      <c r="F279" s="414"/>
      <c r="G279" s="364"/>
      <c r="H279" s="123" t="str">
        <f>_xlfn.CONCAT(_xlfn.XLOOKUP("[S05_DefaultValues][77][FuelMaterialType]",Submission!$O:$O,Submission!$H:$N,""))</f>
        <v>Wood waste</v>
      </c>
      <c r="I279" s="106" t="str">
        <f>_xlfn.CONCAT(_xlfn.XLOOKUP("[S05_DefaultValues][77][InstallationNumber]",Submission!$O:$O,Submission!$H:$N,""))</f>
        <v>6</v>
      </c>
    </row>
    <row r="280" spans="1:9" ht="15.9" hidden="1" customHeight="1" outlineLevel="1" x14ac:dyDescent="0.3">
      <c r="A280" s="13"/>
      <c r="B280" s="34"/>
      <c r="C280" s="274" t="str">
        <f>_xlfn.CONCAT(_xlfn.XLOOKUP("[S05_DefaultValues][78][InstallationCategory]",Submission!$O:$O,Submission!$H:$N,""))</f>
        <v>Category C installation</v>
      </c>
      <c r="D280" s="414"/>
      <c r="E280" s="414"/>
      <c r="F280" s="414"/>
      <c r="G280" s="364"/>
      <c r="H280" s="123" t="str">
        <f>_xlfn.CONCAT(_xlfn.XLOOKUP("[S05_DefaultValues][78][FuelMaterialType]",Submission!$O:$O,Submission!$H:$N,""))</f>
        <v>Wood waste</v>
      </c>
      <c r="I280" s="106" t="str">
        <f>_xlfn.CONCAT(_xlfn.XLOOKUP("[S05_DefaultValues][78][InstallationNumber]",Submission!$O:$O,Submission!$H:$N,""))</f>
        <v>1</v>
      </c>
    </row>
    <row r="281" spans="1:9" ht="15.9" hidden="1" customHeight="1" outlineLevel="1" x14ac:dyDescent="0.3">
      <c r="A281" s="13"/>
      <c r="B281" s="34"/>
      <c r="C281" s="274" t="str">
        <f>_xlfn.CONCAT(_xlfn.XLOOKUP("[S05_DefaultValues][79][InstallationCategory]",Submission!$O:$O,Submission!$H:$N,""))</f>
        <v>Installation with low emissions</v>
      </c>
      <c r="D281" s="414"/>
      <c r="E281" s="414"/>
      <c r="F281" s="414"/>
      <c r="G281" s="364"/>
      <c r="H281" s="123" t="str">
        <f>_xlfn.CONCAT(_xlfn.XLOOKUP("[S05_DefaultValues][79][FuelMaterialType]",Submission!$O:$O,Submission!$H:$N,""))</f>
        <v>Wooden pellets</v>
      </c>
      <c r="I281" s="106" t="str">
        <f>_xlfn.CONCAT(_xlfn.XLOOKUP("[S05_DefaultValues][79][InstallationNumber]",Submission!$O:$O,Submission!$H:$N,""))</f>
        <v>9</v>
      </c>
    </row>
    <row r="282" spans="1:9" ht="15.9" hidden="1" customHeight="1" outlineLevel="1" x14ac:dyDescent="0.3">
      <c r="A282" s="13"/>
      <c r="B282" s="34"/>
      <c r="C282" s="274" t="str">
        <f>_xlfn.CONCAT(_xlfn.XLOOKUP("[S05_DefaultValues][80][InstallationCategory]",Submission!$O:$O,Submission!$H:$N,""))</f>
        <v>Category B installation</v>
      </c>
      <c r="D282" s="414"/>
      <c r="E282" s="414"/>
      <c r="F282" s="414"/>
      <c r="G282" s="364"/>
      <c r="H282" s="123" t="str">
        <f>_xlfn.CONCAT(_xlfn.XLOOKUP("[S05_DefaultValues][80][FuelMaterialType]",Submission!$O:$O,Submission!$H:$N,""))</f>
        <v>Wooden pellets</v>
      </c>
      <c r="I282" s="106" t="str">
        <f>_xlfn.CONCAT(_xlfn.XLOOKUP("[S05_DefaultValues][80][InstallationNumber]",Submission!$O:$O,Submission!$H:$N,""))</f>
        <v>2</v>
      </c>
    </row>
    <row r="283" spans="1:9" ht="15.9" hidden="1" customHeight="1" outlineLevel="1" x14ac:dyDescent="0.3">
      <c r="A283" s="13"/>
      <c r="B283" s="34"/>
      <c r="C283" s="274" t="str">
        <f>_xlfn.CONCAT(_xlfn.XLOOKUP("[S05_DefaultValues][81][InstallationCategory]",Submission!$O:$O,Submission!$H:$N,""))</f>
        <v>Category A installation</v>
      </c>
      <c r="D283" s="414"/>
      <c r="E283" s="414"/>
      <c r="F283" s="414"/>
      <c r="G283" s="364"/>
      <c r="H283" s="123" t="str">
        <f>_xlfn.CONCAT(_xlfn.XLOOKUP("[S05_DefaultValues][81][FuelMaterialType]",Submission!$O:$O,Submission!$H:$N,""))</f>
        <v>Fuel oil</v>
      </c>
      <c r="I283" s="106" t="str">
        <f>_xlfn.CONCAT(_xlfn.XLOOKUP("[S05_DefaultValues][81][InstallationNumber]",Submission!$O:$O,Submission!$H:$N,""))</f>
        <v>1</v>
      </c>
    </row>
    <row r="284" spans="1:9" ht="15.9" hidden="1" customHeight="1" outlineLevel="1" x14ac:dyDescent="0.3">
      <c r="A284" s="13"/>
      <c r="B284" s="34"/>
      <c r="C284" s="274" t="str">
        <f>_xlfn.CONCAT(_xlfn.XLOOKUP("[S05_DefaultValues][82][InstallationCategory]",Submission!$O:$O,Submission!$H:$N,""))</f>
        <v>Category A installation</v>
      </c>
      <c r="D284" s="414"/>
      <c r="E284" s="414"/>
      <c r="F284" s="414"/>
      <c r="G284" s="364"/>
      <c r="H284" s="123" t="str">
        <f>_xlfn.CONCAT(_xlfn.XLOOKUP("[S05_DefaultValues][82][FuelMaterialType]",Submission!$O:$O,Submission!$H:$N,""))</f>
        <v>Natural gas from gas grid</v>
      </c>
      <c r="I284" s="106" t="str">
        <f>_xlfn.CONCAT(_xlfn.XLOOKUP("[S05_DefaultValues][82][InstallationNumber]",Submission!$O:$O,Submission!$H:$N,""))</f>
        <v>4</v>
      </c>
    </row>
    <row r="285" spans="1:9" ht="15.9" hidden="1" customHeight="1" outlineLevel="1" x14ac:dyDescent="0.3">
      <c r="A285" s="13"/>
      <c r="B285" s="34"/>
      <c r="C285" s="274" t="str">
        <f>_xlfn.CONCAT(_xlfn.XLOOKUP("[S05_DefaultValues][83][InstallationCategory]",Submission!$O:$O,Submission!$H:$N,""))</f>
        <v>Category C installation</v>
      </c>
      <c r="D285" s="414"/>
      <c r="E285" s="414"/>
      <c r="F285" s="414"/>
      <c r="G285" s="364"/>
      <c r="H285" s="123" t="str">
        <f>_xlfn.CONCAT(_xlfn.XLOOKUP("[S05_DefaultValues][83][FuelMaterialType]",Submission!$O:$O,Submission!$H:$N,""))</f>
        <v>Wooden pellets</v>
      </c>
      <c r="I285" s="106" t="str">
        <f>_xlfn.CONCAT(_xlfn.XLOOKUP("[S05_DefaultValues][83][InstallationNumber]",Submission!$O:$O,Submission!$H:$N,""))</f>
        <v>1</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Fuel gas (natural gas) (production offshore)</v>
      </c>
      <c r="D1008" s="260"/>
      <c r="E1008" s="105" t="str">
        <f>_xlfn.CONCAT(_xlfn.XLOOKUP("[S05_InstallationDifferentSamplingFrequency][1][CountInstallationsDiffFrequency]",Submission!$O:$O,Submission!$H:$N,""))</f>
        <v>5</v>
      </c>
      <c r="F1008" s="105" t="str">
        <f>_xlfn.CONCAT(_xlfn.XLOOKUP("[S05_InstallationDifferentSamplingFrequency][1][MajorSourceStreams]",Submission!$O:$O,Submission!$H:$N,""))</f>
        <v>8</v>
      </c>
      <c r="G1008" s="47" t="str">
        <f>_xlfn.CONCAT(_xlfn.XLOOKUP("[S05_InstallationDifferentSamplingFrequency][1][SamplingPlanDocumented]",Submission!$O:$O,Submission!$H:$N,""))</f>
        <v>Yes</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PetCoke</v>
      </c>
      <c r="D1009" s="260"/>
      <c r="E1009" s="105" t="str">
        <f>_xlfn.CONCAT(_xlfn.XLOOKUP("[S05_InstallationDifferentSamplingFrequency][2][CountInstallationsDiffFrequency]",Submission!$O:$O,Submission!$H:$N,""))</f>
        <v>1</v>
      </c>
      <c r="F1009" s="105" t="str">
        <f>_xlfn.CONCAT(_xlfn.XLOOKUP("[S05_InstallationDifferentSamplingFrequency][2][MajorSourceStreams]",Submission!$O:$O,Submission!$H:$N,""))</f>
        <v>2</v>
      </c>
      <c r="G1009" s="47" t="str">
        <f>_xlfn.CONCAT(_xlfn.XLOOKUP("[S05_InstallationDifferentSamplingFrequency][2][SamplingPlanDocumented]",Submission!$O:$O,Submission!$H:$N,""))</f>
        <v>Yes</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Measurement based methodology</v>
      </c>
      <c r="D1098" s="260"/>
      <c r="E1098" s="274" t="str">
        <f>_xlfn.CONCAT(_xlfn.XLOOKUP("[S05_CategoryBHighestTierNotApplied][1][CategoryBMainActivity]",Submission!$O:$O,Submission!$H:$N,""))</f>
        <v>20 - Combustion of fuels as specified in Annex I of Directive 2003/87/EC</v>
      </c>
      <c r="F1098" s="369"/>
      <c r="G1098" s="259"/>
      <c r="H1098" s="351" t="str">
        <f>_xlfn.CONCAT(_xlfn.XLOOKUP("[S05_CategoryBHighestTierNotApplied][1][CategoryBInstallationsAffected]",Submission!$O:$O,Submission!$H:$N,""))</f>
        <v>12</v>
      </c>
      <c r="I1098" s="352"/>
    </row>
    <row r="1099" spans="1:9" ht="25.95" customHeight="1" x14ac:dyDescent="0.3">
      <c r="B1099" s="34"/>
      <c r="C1099" s="258" t="str">
        <f>_xlfn.CONCAT(_xlfn.XLOOKUP("[S05_CategoryBHighestTierNotApplied][2][MonitoringMethodology]",Submission!$O:$O,Submission!$H:$N,""))</f>
        <v>Calculation based methodology</v>
      </c>
      <c r="D1099" s="260"/>
      <c r="E1099" s="274" t="str">
        <f>_xlfn.CONCAT(_xlfn.XLOOKUP("[S05_CategoryBHighestTierNotApplied][2][CategoryBMainActivity]",Submission!$O:$O,Submission!$H:$N,""))</f>
        <v>20 - Combustion of fuels as specified in Annex I of Directive 2003/87/EC</v>
      </c>
      <c r="F1099" s="369"/>
      <c r="G1099" s="259"/>
      <c r="H1099" s="351" t="str">
        <f>_xlfn.CONCAT(_xlfn.XLOOKUP("[S05_CategoryBHighestTierNotApplied][2][CategoryBInstallationsAffected]",Submission!$O:$O,Submission!$H:$N,""))</f>
        <v>11</v>
      </c>
      <c r="I1099" s="352"/>
    </row>
    <row r="1100" spans="1:9" ht="25.95" customHeight="1" x14ac:dyDescent="0.3">
      <c r="B1100" s="34"/>
      <c r="C1100" s="258" t="str">
        <f>_xlfn.CONCAT(_xlfn.XLOOKUP("[S05_CategoryBHighestTierNotApplied][3][MonitoringMethodology]",Submission!$O:$O,Submission!$H:$N,""))</f>
        <v>Calculation based methodology</v>
      </c>
      <c r="D1100" s="260"/>
      <c r="E1100" s="274" t="str">
        <f>_xlfn.CONCAT(_xlfn.XLOOKUP("[S05_CategoryBHighestTierNotApplied][3][CategoryBMainActivity]",Submission!$O:$O,Submission!$H:$N,""))</f>
        <v>32 - Manufacture of ceramic products as specified in Annex I of Directive 2003/87/EC</v>
      </c>
      <c r="F1100" s="369"/>
      <c r="G1100" s="259"/>
      <c r="H1100" s="351" t="str">
        <f>_xlfn.CONCAT(_xlfn.XLOOKUP("[S05_CategoryBHighestTierNotApplied][3][CategoryBInstallationsAffected]",Submission!$O:$O,Submission!$H:$N,""))</f>
        <v>1</v>
      </c>
      <c r="I1100" s="352"/>
    </row>
    <row r="1101" spans="1:9" ht="25.95" customHeight="1" x14ac:dyDescent="0.3">
      <c r="B1101" s="34"/>
      <c r="C1101" s="258" t="str">
        <f>_xlfn.CONCAT(_xlfn.XLOOKUP("[S05_CategoryBHighestTierNotApplied][4][MonitoringMethodology]",Submission!$O:$O,Submission!$H:$N,""))</f>
        <v>Calculation based methodology</v>
      </c>
      <c r="D1101" s="260"/>
      <c r="E1101" s="274" t="str">
        <f>_xlfn.CONCAT(_xlfn.XLOOKUP("[S05_CategoryBHighestTierNotApplied][4][CategoryBMainActivity]",Submission!$O:$O,Submission!$H:$N,""))</f>
        <v>33 - Manufacture of mineral wool insulation material using glass, rock or slag as specified in Annex I of Directive 2003/87/EC</v>
      </c>
      <c r="F1101" s="369"/>
      <c r="G1101" s="259"/>
      <c r="H1101" s="351" t="str">
        <f>_xlfn.CONCAT(_xlfn.XLOOKUP("[S05_CategoryBHighestTierNotApplied][4][CategoryBInstallationsAffected]",Submission!$O:$O,Submission!$H:$N,""))</f>
        <v>2</v>
      </c>
      <c r="I1101" s="352"/>
    </row>
    <row r="1102" spans="1:9" ht="25.95" customHeight="1" x14ac:dyDescent="0.3">
      <c r="B1102" s="34"/>
      <c r="C1102" s="258" t="str">
        <f>_xlfn.CONCAT(_xlfn.XLOOKUP("[S05_CategoryBHighestTierNotApplied][5][MonitoringMethodology]",Submission!$O:$O,Submission!$H:$N,""))</f>
        <v>Calculation based methodology</v>
      </c>
      <c r="D1102" s="260"/>
      <c r="E1102" s="274" t="str">
        <f>_xlfn.CONCAT(_xlfn.XLOOKUP("[S05_CategoryBHighestTierNotApplied][5][CategoryBMainActivity]",Submission!$O:$O,Submission!$H:$N,""))</f>
        <v>21 - Refining of mineral oil</v>
      </c>
      <c r="F1102" s="369"/>
      <c r="G1102" s="259"/>
      <c r="H1102" s="351" t="str">
        <f>_xlfn.CONCAT(_xlfn.XLOOKUP("[S05_CategoryBHighestTierNotApplied][5][CategoryBInstallationsAffected]",Submission!$O:$O,Submission!$H:$N,""))</f>
        <v>1</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74" t="str">
        <f>_xlfn.CONCAT(_xlfn.XLOOKUP("[S05_ImprovementReportArt69]["&amp;ROW(B1144)-ROW($B$1143)&amp;"][Annex1Activity]",Submission!$O:$O,Submission!$H:$N,""))</f>
        <v>20 - Combustion of fuels as specified in Annex I of Directive 2003/87/EC</v>
      </c>
      <c r="E1144" s="364"/>
      <c r="F1144" s="258" t="str">
        <f>_xlfn.CONCAT(_xlfn.XLOOKUP("[S05_ImprovementReportArt69]["&amp;ROW(B1144)-ROW($B$1143)&amp;"][ImprovementReportType]",Submission!$O:$O,Submission!$H:$N,""))</f>
        <v>Improvement report according to Article 69(4)</v>
      </c>
      <c r="G1144" s="259"/>
      <c r="H1144" s="124" t="str">
        <f>_xlfn.CONCAT(_xlfn.XLOOKUP("[S05_ImprovementReportArt69]["&amp;ROW(B1144)-ROW($B$1143)&amp;"][ImprovementReportRequired]",Submission!$O:$O,Submission!$H:$N,""))</f>
        <v>4</v>
      </c>
      <c r="I1144" s="124" t="str">
        <f>_xlfn.CONCAT(_xlfn.XLOOKUP("[S05_ImprovementReportArt69]["&amp;ROW(B1144)-ROW($B$1143)&amp;"][ImprovementReportSubmitted]",Submission!$O:$O,Submission!$H:$N,""))</f>
        <v>3</v>
      </c>
    </row>
    <row r="1145" spans="1:9" ht="27" customHeight="1" x14ac:dyDescent="0.3">
      <c r="A1145" s="12"/>
      <c r="C1145" s="47" t="str">
        <f>_xlfn.CONCAT(_xlfn.XLOOKUP("[S05_ImprovementReportArt69]["&amp;ROW(B1145)-ROW($B$1143)&amp;"][InstallationCategory]",Submission!$O:$O,Submission!$H:$N,""))</f>
        <v>Category A</v>
      </c>
      <c r="D1145" s="274" t="str">
        <f>_xlfn.CONCAT(_xlfn.XLOOKUP("[S05_ImprovementReportArt69]["&amp;ROW(B1145)-ROW($B$1143)&amp;"][Annex1Activity]",Submission!$O:$O,Submission!$H:$N,""))</f>
        <v>35 - Production of pulp as specified in Annex I of Directive 2003/87/EC</v>
      </c>
      <c r="E1145" s="364"/>
      <c r="F1145" s="258" t="str">
        <f>_xlfn.CONCAT(_xlfn.XLOOKUP("[S05_ImprovementReportArt69]["&amp;ROW(B1145)-ROW($B$1143)&amp;"][ImprovementReportType]",Submission!$O:$O,Submission!$H:$N,""))</f>
        <v>Improvement report according to Article 69(4)</v>
      </c>
      <c r="G1145" s="259"/>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B</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according to Article 69(4)</v>
      </c>
      <c r="G1146" s="259"/>
      <c r="H1146" s="124" t="str">
        <f>_xlfn.CONCAT(_xlfn.XLOOKUP("[S05_ImprovementReportArt69]["&amp;ROW(B1146)-ROW($B$1143)&amp;"][ImprovementReportRequired]",Submission!$O:$O,Submission!$H:$N,""))</f>
        <v>11</v>
      </c>
      <c r="I1146" s="124" t="str">
        <f>_xlfn.CONCAT(_xlfn.XLOOKUP("[S05_ImprovementReportArt69]["&amp;ROW(B1146)-ROW($B$1143)&amp;"][ImprovementReportSubmitted]",Submission!$O:$O,Submission!$H:$N,""))</f>
        <v>9</v>
      </c>
    </row>
    <row r="1147" spans="1:9" ht="27" customHeight="1" x14ac:dyDescent="0.3">
      <c r="A1147" s="12"/>
      <c r="C1147" s="47" t="str">
        <f>_xlfn.CONCAT(_xlfn.XLOOKUP("[S05_ImprovementReportArt69]["&amp;ROW(B1147)-ROW($B$1143)&amp;"][InstallationCategory]",Submission!$O:$O,Submission!$H:$N,""))</f>
        <v>Category B</v>
      </c>
      <c r="D1147" s="274" t="str">
        <f>_xlfn.CONCAT(_xlfn.XLOOKUP("[S05_ImprovementReportArt69]["&amp;ROW(B1147)-ROW($B$1143)&amp;"][Annex1Activity]",Submission!$O:$O,Submission!$H:$N,""))</f>
        <v>21 - Refining of mineral oil</v>
      </c>
      <c r="E1147" s="364"/>
      <c r="F1147" s="258" t="str">
        <f>_xlfn.CONCAT(_xlfn.XLOOKUP("[S05_ImprovementReportArt69]["&amp;ROW(B1147)-ROW($B$1143)&amp;"][ImprovementReportType]",Submission!$O:$O,Submission!$H:$N,""))</f>
        <v>Improvement report according to Article 69(4)</v>
      </c>
      <c r="G1147" s="259"/>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0</v>
      </c>
    </row>
    <row r="1148" spans="1:9" ht="27" customHeight="1" x14ac:dyDescent="0.3">
      <c r="A1148" s="12"/>
      <c r="C1148" s="47" t="str">
        <f>_xlfn.CONCAT(_xlfn.XLOOKUP("[S05_ImprovementReportArt69]["&amp;ROW(B1148)-ROW($B$1143)&amp;"][InstallationCategory]",Submission!$O:$O,Submission!$H:$N,""))</f>
        <v>Category C</v>
      </c>
      <c r="D1148" s="274" t="str">
        <f>_xlfn.CONCAT(_xlfn.XLOOKUP("[S05_ImprovementReportArt69]["&amp;ROW(B1148)-ROW($B$1143)&amp;"][Annex1Activity]",Submission!$O:$O,Submission!$H:$N,""))</f>
        <v>20 - Combustion of fuels as specified in Annex I of Directive 2003/87/EC</v>
      </c>
      <c r="E1148" s="364"/>
      <c r="F1148" s="258" t="str">
        <f>_xlfn.CONCAT(_xlfn.XLOOKUP("[S05_ImprovementReportArt69]["&amp;ROW(B1148)-ROW($B$1143)&amp;"][ImprovementReportType]",Submission!$O:$O,Submission!$H:$N,""))</f>
        <v>Improvement report according to Article 69(4)</v>
      </c>
      <c r="G1148" s="259"/>
      <c r="H1148" s="124" t="str">
        <f>_xlfn.CONCAT(_xlfn.XLOOKUP("[S05_ImprovementReportArt69]["&amp;ROW(B1148)-ROW($B$1143)&amp;"][ImprovementReportRequired]",Submission!$O:$O,Submission!$H:$N,""))</f>
        <v>3</v>
      </c>
      <c r="I1148" s="124" t="str">
        <f>_xlfn.CONCAT(_xlfn.XLOOKUP("[S05_ImprovementReportArt69]["&amp;ROW(B1148)-ROW($B$1143)&amp;"][ImprovementReportSubmitted]",Submission!$O:$O,Submission!$H:$N,""))</f>
        <v>3</v>
      </c>
    </row>
    <row r="1149" spans="1:9" ht="27" customHeight="1" x14ac:dyDescent="0.3">
      <c r="A1149" s="12"/>
      <c r="C1149" s="47" t="str">
        <f>_xlfn.CONCAT(_xlfn.XLOOKUP("[S05_ImprovementReportArt69]["&amp;ROW(B1149)-ROW($B$1143)&amp;"][InstallationCategory]",Submission!$O:$O,Submission!$H:$N,""))</f>
        <v>Category C</v>
      </c>
      <c r="D1149" s="274" t="str">
        <f>_xlfn.CONCAT(_xlfn.XLOOKUP("[S05_ImprovementReportArt69]["&amp;ROW(B1149)-ROW($B$1143)&amp;"][Annex1Activity]",Submission!$O:$O,Submission!$H:$N,""))</f>
        <v>21 - Refining of mineral oil</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B</v>
      </c>
      <c r="D1150" s="274" t="str">
        <f>_xlfn.CONCAT(_xlfn.XLOOKUP("[S05_ImprovementReportArt69]["&amp;ROW(B1150)-ROW($B$1143)&amp;"][Annex1Activity]",Submission!$O:$O,Submission!$H:$N,""))</f>
        <v>20 - Combustion of fuels as specified in Annex I of Directive 2003/87/EC</v>
      </c>
      <c r="E1150" s="364"/>
      <c r="F1150" s="258" t="str">
        <f>_xlfn.CONCAT(_xlfn.XLOOKUP("[S05_ImprovementReportArt69]["&amp;ROW(B1150)-ROW($B$1143)&amp;"][ImprovementReportType]",Submission!$O:$O,Submission!$H:$N,""))</f>
        <v>Improvement report in accordance with Article 69(1)</v>
      </c>
      <c r="G1150" s="259"/>
      <c r="H1150" s="124" t="str">
        <f>_xlfn.CONCAT(_xlfn.XLOOKUP("[S05_ImprovementReportArt69]["&amp;ROW(B1150)-ROW($B$1143)&amp;"][ImprovementReportRequired]",Submission!$O:$O,Submission!$H:$N,""))</f>
        <v>8</v>
      </c>
      <c r="I1150" s="124" t="str">
        <f>_xlfn.CONCAT(_xlfn.XLOOKUP("[S05_ImprovementReportArt69]["&amp;ROW(B1150)-ROW($B$1143)&amp;"][ImprovementReportSubmitted]",Submission!$O:$O,Submission!$H:$N,""))</f>
        <v>2</v>
      </c>
    </row>
    <row r="1151" spans="1:9" ht="27" customHeight="1" x14ac:dyDescent="0.3">
      <c r="A1151" s="12"/>
      <c r="C1151" s="47" t="str">
        <f>_xlfn.CONCAT(_xlfn.XLOOKUP("[S05_ImprovementReportArt69]["&amp;ROW(B1151)-ROW($B$1143)&amp;"][InstallationCategory]",Submission!$O:$O,Submission!$H:$N,""))</f>
        <v>Category B</v>
      </c>
      <c r="D1151" s="274" t="str">
        <f>_xlfn.CONCAT(_xlfn.XLOOKUP("[S05_ImprovementReportArt69]["&amp;ROW(B1151)-ROW($B$1143)&amp;"][Annex1Activity]",Submission!$O:$O,Submission!$H:$N,""))</f>
        <v>25 - Production or processing of ferrous metals as specified in Annex I of Directive 2003/87/EC</v>
      </c>
      <c r="E1151" s="364"/>
      <c r="F1151" s="258" t="str">
        <f>_xlfn.CONCAT(_xlfn.XLOOKUP("[S05_ImprovementReportArt69]["&amp;ROW(B1151)-ROW($B$1143)&amp;"][ImprovementReportType]",Submission!$O:$O,Submission!$H:$N,""))</f>
        <v>Improvement report in accordance with Article 69(1)</v>
      </c>
      <c r="G1151" s="259"/>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0</v>
      </c>
    </row>
    <row r="1152" spans="1:9" ht="27" customHeight="1" x14ac:dyDescent="0.3">
      <c r="A1152" s="12"/>
      <c r="C1152" s="47" t="str">
        <f>_xlfn.CONCAT(_xlfn.XLOOKUP("[S05_ImprovementReportArt69]["&amp;ROW(B1152)-ROW($B$1143)&amp;"][InstallationCategory]",Submission!$O:$O,Submission!$H:$N,""))</f>
        <v>Category C</v>
      </c>
      <c r="D1152" s="274" t="str">
        <f>_xlfn.CONCAT(_xlfn.XLOOKUP("[S05_ImprovementReportArt69]["&amp;ROW(B1152)-ROW($B$1143)&amp;"][Annex1Activity]",Submission!$O:$O,Submission!$H:$N,""))</f>
        <v>20 - Combustion of fuels as specified in Annex I of Directive 2003/87/EC</v>
      </c>
      <c r="E1152" s="364"/>
      <c r="F1152" s="258" t="str">
        <f>_xlfn.CONCAT(_xlfn.XLOOKUP("[S05_ImprovementReportArt69]["&amp;ROW(B1152)-ROW($B$1143)&amp;"][ImprovementReportType]",Submission!$O:$O,Submission!$H:$N,""))</f>
        <v>Improvement report in accordance with Article 69(1)</v>
      </c>
      <c r="G1152" s="259"/>
      <c r="H1152" s="124" t="str">
        <f>_xlfn.CONCAT(_xlfn.XLOOKUP("[S05_ImprovementReportArt69]["&amp;ROW(B1152)-ROW($B$1143)&amp;"][ImprovementReportRequired]",Submission!$O:$O,Submission!$H:$N,""))</f>
        <v>2</v>
      </c>
      <c r="I1152" s="124" t="str">
        <f>_xlfn.CONCAT(_xlfn.XLOOKUP("[S05_ImprovementReportArt69]["&amp;ROW(B1152)-ROW($B$1143)&amp;"][ImprovementReportSubmitted]",Submission!$O:$O,Submission!$H:$N,""))</f>
        <v>1</v>
      </c>
    </row>
    <row r="1153" spans="1:9" ht="27" customHeight="1" x14ac:dyDescent="0.3">
      <c r="A1153" s="12"/>
      <c r="C1153" s="47" t="str">
        <f>_xlfn.CONCAT(_xlfn.XLOOKUP("[S05_ImprovementReportArt69]["&amp;ROW(B1153)-ROW($B$1143)&amp;"][InstallationCategory]",Submission!$O:$O,Submission!$H:$N,""))</f>
        <v>Category C</v>
      </c>
      <c r="D1153" s="274" t="str">
        <f>_xlfn.CONCAT(_xlfn.XLOOKUP("[S05_ImprovementReportArt69]["&amp;ROW(B1153)-ROW($B$1143)&amp;"][Annex1Activity]",Submission!$O:$O,Submission!$H:$N,""))</f>
        <v>21 - Refining of mineral oil</v>
      </c>
      <c r="E1153" s="364"/>
      <c r="F1153" s="258" t="str">
        <f>_xlfn.CONCAT(_xlfn.XLOOKUP("[S05_ImprovementReportArt69]["&amp;ROW(B1153)-ROW($B$1143)&amp;"][ImprovementReportType]",Submission!$O:$O,Submission!$H:$N,""))</f>
        <v>Improvement report in accordance with Article 69(1)</v>
      </c>
      <c r="G1153" s="259"/>
      <c r="H1153" s="124" t="str">
        <f>_xlfn.CONCAT(_xlfn.XLOOKUP("[S05_ImprovementReportArt69]["&amp;ROW(B1153)-ROW($B$1143)&amp;"][ImprovementReportRequired]",Submission!$O:$O,Submission!$H:$N,""))</f>
        <v>1</v>
      </c>
      <c r="I1153" s="124" t="str">
        <f>_xlfn.CONCAT(_xlfn.XLOOKUP("[S05_ImprovementReportArt69]["&amp;ROW(B1153)-ROW($B$1143)&amp;"][ImprovementReportSubmitted]",Submission!$O:$O,Submission!$H:$N,""))</f>
        <v>1</v>
      </c>
    </row>
    <row r="1154" spans="1:9" ht="27" customHeight="1" x14ac:dyDescent="0.3">
      <c r="A1154" s="12"/>
      <c r="C1154" s="47" t="str">
        <f>_xlfn.CONCAT(_xlfn.XLOOKUP("[S05_ImprovementReportArt69]["&amp;ROW(B1154)-ROW($B$1143)&amp;"][InstallationCategory]",Submission!$O:$O,Submission!$H:$N,""))</f>
        <v>Category C</v>
      </c>
      <c r="D1154" s="274" t="str">
        <f>_xlfn.CONCAT(_xlfn.XLOOKUP("[S05_ImprovementReportArt69]["&amp;ROW(B1154)-ROW($B$1143)&amp;"][Annex1Activity]",Submission!$O:$O,Submission!$H:$N,""))</f>
        <v>29 - Production of cement clinker in rotary kilns as specified in Annex I of Directive 2003/87/ EC</v>
      </c>
      <c r="E1154" s="364"/>
      <c r="F1154" s="258" t="str">
        <f>_xlfn.CONCAT(_xlfn.XLOOKUP("[S05_ImprovementReportArt69]["&amp;ROW(B1154)-ROW($B$1143)&amp;"][ImprovementReportType]",Submission!$O:$O,Submission!$H:$N,""))</f>
        <v>Improvement report in accordance with Article 69(1)</v>
      </c>
      <c r="G1154" s="259"/>
      <c r="H1154" s="124" t="str">
        <f>_xlfn.CONCAT(_xlfn.XLOOKUP("[S05_ImprovementReportArt69]["&amp;ROW(B1154)-ROW($B$1143)&amp;"][ImprovementReportRequired]",Submission!$O:$O,Submission!$H:$N,""))</f>
        <v>1</v>
      </c>
      <c r="I1154" s="124" t="str">
        <f>_xlfn.CONCAT(_xlfn.XLOOKUP("[S05_ImprovementReportArt69]["&amp;ROW(B1154)-ROW($B$1143)&amp;"][ImprovementReportSubmitted]",Submission!$O:$O,Submission!$H:$N,""))</f>
        <v>0</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DK-205619</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224719.07</v>
      </c>
      <c r="H1327" s="127" t="str">
        <f>_xlfn.CONCAT(_xlfn.XLOOKUP("[S05_ContinuousEmissionsMeasurementDetail][1][ContinuousMeasurementTotalEmissions]",Submission!$O:$O,Submission!$H:$N,""))</f>
        <v>224717.27</v>
      </c>
      <c r="I1327" s="72" t="str">
        <f>_xlfn.CONCAT(_xlfn.XLOOKUP("[S05_ContinuousEmissionsMeasurementDetail][1][FlueGasContainBiomass]",Submission!$O:$O,Submission!$H:$N,""))</f>
        <v>Yes</v>
      </c>
    </row>
    <row r="1328" spans="1:12" ht="15.9" customHeight="1" x14ac:dyDescent="0.3">
      <c r="A1328" s="13"/>
      <c r="B1328" s="23"/>
      <c r="C1328" s="258" t="str">
        <f>_xlfn.CONCAT(_xlfn.XLOOKUP("[S05_ContinuousEmissionsMeasurementDetail][2][InstallationIDCO2]",Submission!$O:$O,Submission!$H:$N,""))</f>
        <v>DK-202197</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564332.06</v>
      </c>
      <c r="H1328" s="127" t="str">
        <f>_xlfn.CONCAT(_xlfn.XLOOKUP("[S05_ContinuousEmissionsMeasurementDetail][2][ContinuousMeasurementTotalEmissions]",Submission!$O:$O,Submission!$H:$N,""))</f>
        <v>564175.06</v>
      </c>
      <c r="I1328" s="72" t="str">
        <f>_xlfn.CONCAT(_xlfn.XLOOKUP("[S05_ContinuousEmissionsMeasurementDetail][2][FlueGasContainBiomass]",Submission!$O:$O,Submission!$H:$N,""))</f>
        <v>Yes</v>
      </c>
    </row>
    <row r="1329" spans="1:9" ht="15.9" customHeight="1" x14ac:dyDescent="0.3">
      <c r="A1329" s="13"/>
      <c r="B1329" s="23"/>
      <c r="C1329" s="258" t="str">
        <f>_xlfn.CONCAT(_xlfn.XLOOKUP("[S05_ContinuousEmissionsMeasurementDetail][3][InstallationIDCO2]",Submission!$O:$O,Submission!$H:$N,""))</f>
        <v>DK-204108</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368636.68</v>
      </c>
      <c r="H1329" s="127" t="str">
        <f>_xlfn.CONCAT(_xlfn.XLOOKUP("[S05_ContinuousEmissionsMeasurementDetail][3][ContinuousMeasurementTotalEmissions]",Submission!$O:$O,Submission!$H:$N,""))</f>
        <v>368601.68</v>
      </c>
      <c r="I1329" s="72" t="str">
        <f>_xlfn.CONCAT(_xlfn.XLOOKUP("[S05_ContinuousEmissionsMeasurementDetail][3][FlueGasContainBiomass]",Submission!$O:$O,Submission!$H:$N,""))</f>
        <v>Yes</v>
      </c>
    </row>
    <row r="1330" spans="1:9" ht="15.9" customHeight="1" x14ac:dyDescent="0.3">
      <c r="A1330" s="13"/>
      <c r="B1330" s="23"/>
      <c r="C1330" s="258" t="str">
        <f>_xlfn.CONCAT(_xlfn.XLOOKUP("[S05_ContinuousEmissionsMeasurementDetail][4][InstallationIDCO2]",Submission!$O:$O,Submission!$H:$N,""))</f>
        <v>DK-203364</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168794.68</v>
      </c>
      <c r="H1330" s="127" t="str">
        <f>_xlfn.CONCAT(_xlfn.XLOOKUP("[S05_ContinuousEmissionsMeasurementDetail][4][ContinuousMeasurementTotalEmissions]",Submission!$O:$O,Submission!$H:$N,""))</f>
        <v>168538.68</v>
      </c>
      <c r="I1330" s="72" t="str">
        <f>_xlfn.CONCAT(_xlfn.XLOOKUP("[S05_ContinuousEmissionsMeasurementDetail][4][FlueGasContainBiomass]",Submission!$O:$O,Submission!$H:$N,""))</f>
        <v>Yes</v>
      </c>
    </row>
    <row r="1331" spans="1:9" ht="15.9" customHeight="1" x14ac:dyDescent="0.3">
      <c r="A1331" s="13"/>
      <c r="B1331" s="23"/>
      <c r="C1331" s="258" t="str">
        <f>_xlfn.CONCAT(_xlfn.XLOOKUP("[S05_ContinuousEmissionsMeasurementDetail][5][InstallationIDCO2]",Submission!$O:$O,Submission!$H:$N,""))</f>
        <v>DK-202591</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243267.54</v>
      </c>
      <c r="H1331" s="127" t="str">
        <f>_xlfn.CONCAT(_xlfn.XLOOKUP("[S05_ContinuousEmissionsMeasurementDetail][5][ContinuousMeasurementTotalEmissions]",Submission!$O:$O,Submission!$H:$N,""))</f>
        <v>243258.54</v>
      </c>
      <c r="I1331" s="72" t="str">
        <f>_xlfn.CONCAT(_xlfn.XLOOKUP("[S05_ContinuousEmissionsMeasurementDetail][5][FlueGasContainBiomass]",Submission!$O:$O,Submission!$H:$N,""))</f>
        <v>Yes</v>
      </c>
    </row>
    <row r="1332" spans="1:9" ht="15.9" customHeight="1" x14ac:dyDescent="0.3">
      <c r="A1332" s="13"/>
      <c r="B1332" s="23"/>
      <c r="C1332" s="258" t="str">
        <f>_xlfn.CONCAT(_xlfn.XLOOKUP("[S05_ContinuousEmissionsMeasurementDetail][6][InstallationIDCO2]",Submission!$O:$O,Submission!$H:$N,""))</f>
        <v>DK-86</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96274</v>
      </c>
      <c r="H1332" s="127" t="str">
        <f>_xlfn.CONCAT(_xlfn.XLOOKUP("[S05_ContinuousEmissionsMeasurementDetail][6][ContinuousMeasurementTotalEmissions]",Submission!$O:$O,Submission!$H:$N,""))</f>
        <v>85521</v>
      </c>
      <c r="I1332" s="72" t="str">
        <f>_xlfn.CONCAT(_xlfn.XLOOKUP("[S05_ContinuousEmissionsMeasurementDetail][6][FlueGasContainBiomass]",Submission!$O:$O,Submission!$H:$N,""))</f>
        <v>Yes</v>
      </c>
    </row>
    <row r="1333" spans="1:9" ht="15.9" customHeight="1" x14ac:dyDescent="0.3">
      <c r="A1333" s="13"/>
      <c r="B1333" s="23"/>
      <c r="C1333" s="258" t="str">
        <f>_xlfn.CONCAT(_xlfn.XLOOKUP("[S05_ContinuousEmissionsMeasurementDetail][7][InstallationIDCO2]",Submission!$O:$O,Submission!$H:$N,""))</f>
        <v>DK-241</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513610.42</v>
      </c>
      <c r="H1333" s="127" t="str">
        <f>_xlfn.CONCAT(_xlfn.XLOOKUP("[S05_ContinuousEmissionsMeasurementDetail][7][ContinuousMeasurementTotalEmissions]",Submission!$O:$O,Submission!$H:$N,""))</f>
        <v>505636.42</v>
      </c>
      <c r="I1333" s="72" t="str">
        <f>_xlfn.CONCAT(_xlfn.XLOOKUP("[S05_ContinuousEmissionsMeasurementDetail][7][FlueGasContainBiomass]",Submission!$O:$O,Submission!$H:$N,""))</f>
        <v>Yes</v>
      </c>
    </row>
    <row r="1334" spans="1:9" ht="15.9" customHeight="1" x14ac:dyDescent="0.3">
      <c r="A1334" s="13"/>
      <c r="B1334" s="23"/>
      <c r="C1334" s="258" t="str">
        <f>_xlfn.CONCAT(_xlfn.XLOOKUP("[S05_ContinuousEmissionsMeasurementDetail][8][InstallationIDCO2]",Submission!$O:$O,Submission!$H:$N,""))</f>
        <v>DK-85</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267282</v>
      </c>
      <c r="H1334" s="127" t="str">
        <f>_xlfn.CONCAT(_xlfn.XLOOKUP("[S05_ContinuousEmissionsMeasurementDetail][8][ContinuousMeasurementTotalEmissions]",Submission!$O:$O,Submission!$H:$N,""))</f>
        <v>267273</v>
      </c>
      <c r="I1334" s="72" t="str">
        <f>_xlfn.CONCAT(_xlfn.XLOOKUP("[S05_ContinuousEmissionsMeasurementDetail][8][FlueGasContainBiomass]",Submission!$O:$O,Submission!$H:$N,""))</f>
        <v>Yes</v>
      </c>
    </row>
    <row r="1335" spans="1:9" ht="15.9" hidden="1" customHeight="1" outlineLevel="1" x14ac:dyDescent="0.3">
      <c r="A1335" s="13"/>
      <c r="B1335" s="23"/>
      <c r="C1335" s="258" t="str">
        <f>_xlfn.CONCAT(_xlfn.XLOOKUP("[S05_ContinuousEmissionsMeasurementDetail][9][InstallationIDCO2]",Submission!$O:$O,Submission!$H:$N,""))</f>
        <v>DK-203614</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204328.71</v>
      </c>
      <c r="H1335" s="127" t="str">
        <f>_xlfn.CONCAT(_xlfn.XLOOKUP("[S05_ContinuousEmissionsMeasurementDetail][9][ContinuousMeasurementTotalEmissions]",Submission!$O:$O,Submission!$H:$N,""))</f>
        <v>204315.71</v>
      </c>
      <c r="I1335" s="72" t="str">
        <f>_xlfn.CONCAT(_xlfn.XLOOKUP("[S05_ContinuousEmissionsMeasurementDetail][9][FlueGasContainBiomass]",Submission!$O:$O,Submission!$H:$N,""))</f>
        <v>Yes</v>
      </c>
    </row>
    <row r="1336" spans="1:9" ht="15.9" hidden="1" customHeight="1" outlineLevel="1" x14ac:dyDescent="0.3">
      <c r="A1336" s="13"/>
      <c r="B1336" s="23"/>
      <c r="C1336" s="258" t="str">
        <f>_xlfn.CONCAT(_xlfn.XLOOKUP("[S05_ContinuousEmissionsMeasurementDetail][10][InstallationIDCO2]",Submission!$O:$O,Submission!$H:$N,""))</f>
        <v>DK-205515</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177487.94</v>
      </c>
      <c r="H1336" s="127" t="str">
        <f>_xlfn.CONCAT(_xlfn.XLOOKUP("[S05_ContinuousEmissionsMeasurementDetail][10][ContinuousMeasurementTotalEmissions]",Submission!$O:$O,Submission!$H:$N,""))</f>
        <v>177428.94</v>
      </c>
      <c r="I1336" s="72" t="str">
        <f>_xlfn.CONCAT(_xlfn.XLOOKUP("[S05_ContinuousEmissionsMeasurementDetail][10][FlueGasContainBiomass]",Submission!$O:$O,Submission!$H:$N,""))</f>
        <v>Yes</v>
      </c>
    </row>
    <row r="1337" spans="1:9" ht="15.9" hidden="1" customHeight="1" outlineLevel="1" x14ac:dyDescent="0.3">
      <c r="A1337" s="13"/>
      <c r="B1337" s="23"/>
      <c r="C1337" s="258" t="str">
        <f>_xlfn.CONCAT(_xlfn.XLOOKUP("[S05_ContinuousEmissionsMeasurementDetail][11][InstallationIDCO2]",Submission!$O:$O,Submission!$H:$N,""))</f>
        <v>DK-202613</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321516.91</v>
      </c>
      <c r="H1337" s="127" t="str">
        <f>_xlfn.CONCAT(_xlfn.XLOOKUP("[S05_ContinuousEmissionsMeasurementDetail][11][ContinuousMeasurementTotalEmissions]",Submission!$O:$O,Submission!$H:$N,""))</f>
        <v>321516.91</v>
      </c>
      <c r="I1337" s="72" t="str">
        <f>_xlfn.CONCAT(_xlfn.XLOOKUP("[S05_ContinuousEmissionsMeasurementDetail][11][FlueGasContainBiomass]",Submission!$O:$O,Submission!$H:$N,""))</f>
        <v>Yes</v>
      </c>
    </row>
    <row r="1338" spans="1:9" ht="15.9" hidden="1" customHeight="1" outlineLevel="1" x14ac:dyDescent="0.3">
      <c r="A1338" s="13"/>
      <c r="B1338" s="23"/>
      <c r="C1338" s="258" t="str">
        <f>_xlfn.CONCAT(_xlfn.XLOOKUP("[S05_ContinuousEmissionsMeasurementDetail][12][InstallationIDCO2]",Submission!$O:$O,Submission!$H:$N,""))</f>
        <v>DK-203845</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227726.44</v>
      </c>
      <c r="H1338" s="127" t="str">
        <f>_xlfn.CONCAT(_xlfn.XLOOKUP("[S05_ContinuousEmissionsMeasurementDetail][12][ContinuousMeasurementTotalEmissions]",Submission!$O:$O,Submission!$H:$N,""))</f>
        <v>227718.44</v>
      </c>
      <c r="I1338" s="72" t="str">
        <f>_xlfn.CONCAT(_xlfn.XLOOKUP("[S05_ContinuousEmissionsMeasurementDetail][12][FlueGasContainBiomass]",Submission!$O:$O,Submission!$H:$N,""))</f>
        <v>Yes</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49</v>
      </c>
      <c r="F1389" s="126" t="str">
        <f>_xlfn.CONCAT(_xlfn.XLOOKUP("[S05_BiomassInstallations][1][EmissionsBiomassSustainabilitySatisfied]",Submission!$O:$O,Submission!$H:$N,""))</f>
        <v>4350352.07</v>
      </c>
      <c r="G1389" s="126" t="str">
        <f>_xlfn.CONCAT(_xlfn.XLOOKUP("[S05_BiomassInstallations][1][EmissionsBiomassSustainabilityNotSatisfied]",Submission!$O:$O,Submission!$H:$N,""))</f>
        <v>117.01</v>
      </c>
      <c r="H1389" s="126" t="str">
        <f>_xlfn.CONCAT(_xlfn.XLOOKUP("[S05_BiomassInstallations][1][EmissionsFossil]",Submission!$O:$O,Submission!$H:$N,""))</f>
        <v>1210394.27</v>
      </c>
      <c r="I1389" s="126" t="str">
        <f>_xlfn.CONCAT(_xlfn.XLOOKUP("[S05_BiomassInstallations][1][EnergyZeroRatedBiomass]",Submission!$O:$O,Submission!$H:$N,""))</f>
        <v>39229.6719112436</v>
      </c>
      <c r="J1389" s="126" t="str">
        <f>_xlfn.CONCAT(_xlfn.XLOOKUP("[S05_BiomassInstallations][1][EnergyNonZeroRatedBiomass]",Submission!$O:$O,Submission!$H:$N,""))</f>
        <v>0.81</v>
      </c>
      <c r="K1389" s="126" t="str">
        <f>_xlfn.CONCAT(_xlfn.XLOOKUP("[S05_BiomassInstallations][1][EnergyFossil]",Submission!$O:$O,Submission!$H:$N,""))</f>
        <v>19402.35</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18</v>
      </c>
      <c r="F1390" s="126" t="str">
        <f>_xlfn.CONCAT(_xlfn.XLOOKUP("[S05_BiomassInstallations][2][EmissionsBiomassSustainabilitySatisfied]",Submission!$O:$O,Submission!$H:$N,""))</f>
        <v>5297985.33</v>
      </c>
      <c r="G1390" s="126" t="str">
        <f>_xlfn.CONCAT(_xlfn.XLOOKUP("[S05_BiomassInstallations][2][EmissionsBiomassSustainabilityNotSatisfied]",Submission!$O:$O,Submission!$H:$N,""))</f>
        <v>31479.37</v>
      </c>
      <c r="H1390" s="126" t="str">
        <f>_xlfn.CONCAT(_xlfn.XLOOKUP("[S05_BiomassInstallations][2][EmissionsFossil]",Submission!$O:$O,Submission!$H:$N,""))</f>
        <v>2883851.25</v>
      </c>
      <c r="I1390" s="126" t="str">
        <f>_xlfn.CONCAT(_xlfn.XLOOKUP("[S05_BiomassInstallations][2][EnergyZeroRatedBiomass]",Submission!$O:$O,Submission!$H:$N,""))</f>
        <v>49083.6928916584</v>
      </c>
      <c r="J1390" s="126" t="str">
        <f>_xlfn.CONCAT(_xlfn.XLOOKUP("[S05_BiomassInstallations][2][EnergyNonZeroRatedBiomass]",Submission!$O:$O,Submission!$H:$N,""))</f>
        <v>254.39</v>
      </c>
      <c r="K1390" s="126" t="str">
        <f>_xlfn.CONCAT(_xlfn.XLOOKUP("[S05_BiomassInstallations][2][EnergyFossil]",Submission!$O:$O,Submission!$H:$N,""))</f>
        <v>39680.441</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2</v>
      </c>
      <c r="F1391" s="126" t="str">
        <f>_xlfn.CONCAT(_xlfn.XLOOKUP("[S05_BiomassInstallations][3][EmissionsBiomassSustainabilitySatisfied]",Submission!$O:$O,Submission!$H:$N,""))</f>
        <v>1903818.13</v>
      </c>
      <c r="G1391" s="126" t="str">
        <f>_xlfn.CONCAT(_xlfn.XLOOKUP("[S05_BiomassInstallations][3][EmissionsBiomassSustainabilityNotSatisfied]",Submission!$O:$O,Submission!$H:$N,""))</f>
        <v>0</v>
      </c>
      <c r="H1391" s="126" t="str">
        <f>_xlfn.CONCAT(_xlfn.XLOOKUP("[S05_BiomassInstallations][3][EmissionsFossil]",Submission!$O:$O,Submission!$H:$N,""))</f>
        <v>3725400.34</v>
      </c>
      <c r="I1391" s="126" t="str">
        <f>_xlfn.CONCAT(_xlfn.XLOOKUP("[S05_BiomassInstallations][3][EnergyZeroRatedBiomass]",Submission!$O:$O,Submission!$H:$N,""))</f>
        <v>17319.146288095</v>
      </c>
      <c r="J1391" s="126" t="str">
        <f>_xlfn.CONCAT(_xlfn.XLOOKUP("[S05_BiomassInstallations][3][EnergyNonZeroRatedBiomass]",Submission!$O:$O,Submission!$H:$N,""))</f>
        <v>0</v>
      </c>
      <c r="K1391" s="126" t="str">
        <f>_xlfn.CONCAT(_xlfn.XLOOKUP("[S05_BiomassInstallations][3][EnergyFossil]",Submission!$O:$O,Submission!$H:$N,""))</f>
        <v>39651.77</v>
      </c>
    </row>
    <row r="1392" spans="1:11" ht="44.4" customHeight="1" x14ac:dyDescent="0.3">
      <c r="A1392" s="12"/>
      <c r="C1392" s="125" t="str">
        <f>_xlfn.CONCAT(_xlfn.XLOOKUP("[S05_BiomassInstallations][4][Annex1Activity]",Submission!$O:$O,Submission!$H:$N,""))</f>
        <v>32 - Manufacture of ceramic products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12</v>
      </c>
      <c r="F1392" s="126" t="str">
        <f>_xlfn.CONCAT(_xlfn.XLOOKUP("[S05_BiomassInstallations][4][EmissionsBiomassSustainabilitySatisfied]",Submission!$O:$O,Submission!$H:$N,""))</f>
        <v>33105.91</v>
      </c>
      <c r="G1392" s="126" t="str">
        <f>_xlfn.CONCAT(_xlfn.XLOOKUP("[S05_BiomassInstallations][4][EmissionsBiomassSustainabilityNotSatisfied]",Submission!$O:$O,Submission!$H:$N,""))</f>
        <v>0</v>
      </c>
      <c r="H1392" s="126" t="str">
        <f>_xlfn.CONCAT(_xlfn.XLOOKUP("[S05_BiomassInstallations][4][EmissionsFossil]",Submission!$O:$O,Submission!$H:$N,""))</f>
        <v>133064.5</v>
      </c>
      <c r="I1392" s="126" t="str">
        <f>_xlfn.CONCAT(_xlfn.XLOOKUP("[S05_BiomassInstallations][4][EnergyZeroRatedBiomass]",Submission!$O:$O,Submission!$H:$N,""))</f>
        <v>374.50423415</v>
      </c>
      <c r="J1392" s="126" t="str">
        <f>_xlfn.CONCAT(_xlfn.XLOOKUP("[S05_BiomassInstallations][4][EnergyNonZeroRatedBiomass]",Submission!$O:$O,Submission!$H:$N,""))</f>
        <v>0</v>
      </c>
      <c r="K1392" s="126" t="str">
        <f>_xlfn.CONCAT(_xlfn.XLOOKUP("[S05_BiomassInstallations][4][EnergyFossil]",Submission!$O:$O,Submission!$H:$N,""))</f>
        <v>1822.33</v>
      </c>
    </row>
    <row r="1393" spans="1:11" ht="44.4" customHeight="1" x14ac:dyDescent="0.3">
      <c r="A1393" s="12"/>
      <c r="C1393" s="125" t="str">
        <f>_xlfn.CONCAT(_xlfn.XLOOKUP("[S05_BiomassInstallations][5][Annex1Activity]",Submission!$O:$O,Submission!$H:$N,""))</f>
        <v>32 - Manufacture of ceramic products as specified in Annex I of Directive 2003/87/EC</v>
      </c>
      <c r="D1393" s="128" t="str">
        <f>_xlfn.CONCAT(_xlfn.XLOOKUP("[S05_BiomassInstallations][5][BiomassInstallationCategory]",Submission!$O:$O,Submission!$H:$N,""))</f>
        <v>Category B</v>
      </c>
      <c r="E1393" s="126" t="str">
        <f>_xlfn.CONCAT(_xlfn.XLOOKUP("[S05_BiomassInstallations][5][NumberUsingBiomass]",Submission!$O:$O,Submission!$H:$N,""))</f>
        <v>1</v>
      </c>
      <c r="F1393" s="126" t="str">
        <f>_xlfn.CONCAT(_xlfn.XLOOKUP("[S05_BiomassInstallations][5][EmissionsBiomassSustainabilitySatisfied]",Submission!$O:$O,Submission!$H:$N,""))</f>
        <v>7016.47</v>
      </c>
      <c r="G1393" s="126" t="str">
        <f>_xlfn.CONCAT(_xlfn.XLOOKUP("[S05_BiomassInstallations][5][EmissionsBiomassSustainabilityNotSatisfied]",Submission!$O:$O,Submission!$H:$N,""))</f>
        <v>0</v>
      </c>
      <c r="H1393" s="126" t="str">
        <f>_xlfn.CONCAT(_xlfn.XLOOKUP("[S05_BiomassInstallations][5][EmissionsFossil]",Submission!$O:$O,Submission!$H:$N,""))</f>
        <v>119311.34</v>
      </c>
      <c r="I1393" s="126" t="str">
        <f>_xlfn.CONCAT(_xlfn.XLOOKUP("[S05_BiomassInstallations][5][EnergyZeroRatedBiomass]",Submission!$O:$O,Submission!$H:$N,""))</f>
        <v>30.1064048148056</v>
      </c>
      <c r="J1393" s="126" t="str">
        <f>_xlfn.CONCAT(_xlfn.XLOOKUP("[S05_BiomassInstallations][5][EnergyNonZeroRatedBiomass]",Submission!$O:$O,Submission!$H:$N,""))</f>
        <v>0</v>
      </c>
      <c r="K1393" s="126" t="str">
        <f>_xlfn.CONCAT(_xlfn.XLOOKUP("[S05_BiomassInstallations][5][EnergyFossil]",Submission!$O:$O,Submission!$H:$N,""))</f>
        <v>1169.96</v>
      </c>
    </row>
    <row r="1394" spans="1:11" ht="44.4" customHeight="1" x14ac:dyDescent="0.3">
      <c r="A1394" s="12"/>
      <c r="C1394" s="125" t="str">
        <f>_xlfn.CONCAT(_xlfn.XLOOKUP("[S05_BiomassInstallations][6][Annex1Activity]",Submission!$O:$O,Submission!$H:$N,""))</f>
        <v>35 - Production of pulp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1</v>
      </c>
      <c r="F1394" s="126" t="str">
        <f>_xlfn.CONCAT(_xlfn.XLOOKUP("[S05_BiomassInstallations][6][EmissionsBiomassSustainabilitySatisfied]",Submission!$O:$O,Submission!$H:$N,""))</f>
        <v>36282.05</v>
      </c>
      <c r="G1394" s="126" t="str">
        <f>_xlfn.CONCAT(_xlfn.XLOOKUP("[S05_BiomassInstallations][6][EmissionsBiomassSustainabilityNotSatisfied]",Submission!$O:$O,Submission!$H:$N,""))</f>
        <v>0</v>
      </c>
      <c r="H1394" s="126" t="str">
        <f>_xlfn.CONCAT(_xlfn.XLOOKUP("[S05_BiomassInstallations][6][EmissionsFossil]",Submission!$O:$O,Submission!$H:$N,""))</f>
        <v>35094.37</v>
      </c>
      <c r="I1394" s="126" t="str">
        <f>_xlfn.CONCAT(_xlfn.XLOOKUP("[S05_BiomassInstallations][6][EnergyZeroRatedBiomass]",Submission!$O:$O,Submission!$H:$N,""))</f>
        <v>323.9469</v>
      </c>
      <c r="J1394" s="126" t="str">
        <f>_xlfn.CONCAT(_xlfn.XLOOKUP("[S05_BiomassInstallations][6][EnergyNonZeroRatedBiomass]",Submission!$O:$O,Submission!$H:$N,""))</f>
        <v>0</v>
      </c>
      <c r="K1394" s="126" t="str">
        <f>_xlfn.CONCAT(_xlfn.XLOOKUP("[S05_BiomassInstallations][6][EnergyFossil]",Submission!$O:$O,Submission!$H:$N,""))</f>
        <v>600.69</v>
      </c>
    </row>
    <row r="1395" spans="1:11" ht="44.4" customHeight="1" x14ac:dyDescent="0.3">
      <c r="A1395" s="12"/>
      <c r="C1395" s="125" t="str">
        <f>_xlfn.CONCAT(_xlfn.XLOOKUP("[S05_BiomassInstallations][7][Annex1Activity]",Submission!$O:$O,Submission!$H:$N,""))</f>
        <v>29 - Production of cement clinker in rotary kilns as specified in Annex I of Directive 2003/87/ EC</v>
      </c>
      <c r="D1395" s="128" t="str">
        <f>_xlfn.CONCAT(_xlfn.XLOOKUP("[S05_BiomassInstallations][7][BiomassInstallationCategory]",Submission!$O:$O,Submission!$H:$N,""))</f>
        <v>Category C</v>
      </c>
      <c r="E1395" s="126" t="str">
        <f>_xlfn.CONCAT(_xlfn.XLOOKUP("[S05_BiomassInstallations][7][NumberUsingBiomass]",Submission!$O:$O,Submission!$H:$N,""))</f>
        <v>1</v>
      </c>
      <c r="F1395" s="126" t="str">
        <f>_xlfn.CONCAT(_xlfn.XLOOKUP("[S05_BiomassInstallations][7][EmissionsBiomassSustainabilitySatisfied]",Submission!$O:$O,Submission!$H:$N,""))</f>
        <v>193725.97</v>
      </c>
      <c r="G1395" s="126" t="str">
        <f>_xlfn.CONCAT(_xlfn.XLOOKUP("[S05_BiomassInstallations][7][EmissionsBiomassSustainabilityNotSatisfied]",Submission!$O:$O,Submission!$H:$N,""))</f>
        <v>0</v>
      </c>
      <c r="H1395" s="126" t="str">
        <f>_xlfn.CONCAT(_xlfn.XLOOKUP("[S05_BiomassInstallations][7][EmissionsFossil]",Submission!$O:$O,Submission!$H:$N,""))</f>
        <v>2248047.84</v>
      </c>
      <c r="I1395" s="126" t="str">
        <f>_xlfn.CONCAT(_xlfn.XLOOKUP("[S05_BiomassInstallations][7][EnergyZeroRatedBiomass]",Submission!$O:$O,Submission!$H:$N,""))</f>
        <v>2066.84714036212</v>
      </c>
      <c r="J1395" s="126" t="str">
        <f>_xlfn.CONCAT(_xlfn.XLOOKUP("[S05_BiomassInstallations][7][EnergyNonZeroRatedBiomass]",Submission!$O:$O,Submission!$H:$N,""))</f>
        <v>0</v>
      </c>
      <c r="K1395" s="126" t="str">
        <f>_xlfn.CONCAT(_xlfn.XLOOKUP("[S05_BiomassInstallations][7][EnergyFossil]",Submission!$O:$O,Submission!$H:$N,""))</f>
        <v>11264.17</v>
      </c>
    </row>
    <row r="1396" spans="1:11" ht="44.4" customHeight="1" x14ac:dyDescent="0.3">
      <c r="A1396" s="12"/>
      <c r="C1396" s="125" t="str">
        <f>_xlfn.CONCAT(_xlfn.XLOOKUP("[S05_BiomassInstallations][8][Annex1Activity]",Submission!$O:$O,Submission!$H:$N,""))</f>
        <v>33 - Manufacture of mineral wool insulation material using glass, rock or slag as specified in Annex I of Directive 2003/87/EC</v>
      </c>
      <c r="D1396" s="128" t="str">
        <f>_xlfn.CONCAT(_xlfn.XLOOKUP("[S05_BiomassInstallations][8][BiomassInstallationCategory]",Submission!$O:$O,Submission!$H:$N,""))</f>
        <v>Category A</v>
      </c>
      <c r="E1396" s="126" t="str">
        <f>_xlfn.CONCAT(_xlfn.XLOOKUP("[S05_BiomassInstallations][8][NumberUsingBiomass]",Submission!$O:$O,Submission!$H:$N,""))</f>
        <v>2</v>
      </c>
      <c r="F1396" s="126" t="str">
        <f>_xlfn.CONCAT(_xlfn.XLOOKUP("[S05_BiomassInstallations][8][EmissionsBiomassSustainabilitySatisfied]",Submission!$O:$O,Submission!$H:$N,""))</f>
        <v>38891.8</v>
      </c>
      <c r="G1396" s="126" t="str">
        <f>_xlfn.CONCAT(_xlfn.XLOOKUP("[S05_BiomassInstallations][8][EmissionsBiomassSustainabilityNotSatisfied]",Submission!$O:$O,Submission!$H:$N,""))</f>
        <v>0</v>
      </c>
      <c r="H1396" s="126" t="str">
        <f>_xlfn.CONCAT(_xlfn.XLOOKUP("[S05_BiomassInstallations][8][EmissionsFossil]",Submission!$O:$O,Submission!$H:$N,""))</f>
        <v>29038.96</v>
      </c>
      <c r="I1396" s="126" t="str">
        <f>_xlfn.CONCAT(_xlfn.XLOOKUP("[S05_BiomassInstallations][8][EnergyZeroRatedBiomass]",Submission!$O:$O,Submission!$H:$N,""))</f>
        <v>700.1224164</v>
      </c>
      <c r="J1396" s="126" t="str">
        <f>_xlfn.CONCAT(_xlfn.XLOOKUP("[S05_BiomassInstallations][8][EnergyNonZeroRatedBiomass]",Submission!$O:$O,Submission!$H:$N,""))</f>
        <v>0</v>
      </c>
      <c r="K1396" s="126" t="str">
        <f>_xlfn.CONCAT(_xlfn.XLOOKUP("[S05_BiomassInstallations][8][EnergyFossil]",Submission!$O:$O,Submission!$H:$N,""))</f>
        <v>220.54</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In general, compliance with sustainability criteria for bioliquid and biofuel should be demonstrated in DK in form of certificates according to EU-approved voluntary schemes (eg. ISCC), but other forms of documentation for demonstration compliance is also allowed, see Order on Sustainability for biofuels and bioliquids in the ETS (no 1619 of 15/12/2016 and no 1313 of 14/06/2021).</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3284230.65</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Yes</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Risk assessment carried out by the competent authority</v>
      </c>
      <c r="D1452" s="353"/>
      <c r="E1452" s="353"/>
      <c r="F1452" s="260"/>
      <c r="G1452" s="354" t="str">
        <f>_xlfn.CONCAT(_xlfn.XLOOKUP("[S05_SimplifiedMonitoringArt13Detail][1][Art13RiskAssessmentPrinciples]",Submission!$O:$O,Submission!$H:$N,""))</f>
        <v>Using natural gas and/or more de-minimis source streams</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0</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8</v>
      </c>
      <c r="F1463" s="410"/>
      <c r="G1463" s="413" t="str">
        <f>_xlfn.CONCAT(_xlfn.XLOOKUP("[S05_AircraftMethodFuelConsumption][2][SmallEmittersShare]",Submission!$O:$O,Submission!$H:$N,""))</f>
        <v>0.25</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275069</v>
      </c>
      <c r="H1472" s="379"/>
      <c r="I1472" s="379"/>
    </row>
    <row r="1473" spans="1:10" ht="28.95" customHeight="1" x14ac:dyDescent="0.3">
      <c r="C1473" s="382" t="s">
        <v>957</v>
      </c>
      <c r="D1473" s="382"/>
      <c r="E1473" s="382"/>
      <c r="F1473" s="382"/>
      <c r="G1473" s="379" t="str">
        <f>_xlfn.CONCAT(_xlfn.XLOOKUP("[S05_TotalFlightEmissions][2][TotalFlightEmissions]",Submission!$O:$O,Submission!$H:$N,""))</f>
        <v>70758.92595</v>
      </c>
      <c r="H1473" s="379"/>
      <c r="I1473" s="379"/>
    </row>
    <row r="1474" spans="1:10" ht="28.95" customHeight="1" x14ac:dyDescent="0.3">
      <c r="C1474" s="382" t="s">
        <v>958</v>
      </c>
      <c r="D1474" s="382"/>
      <c r="E1474" s="382"/>
      <c r="F1474" s="382"/>
      <c r="G1474" s="379" t="str">
        <f>_xlfn.CONCAT(_xlfn.XLOOKUP("[S05_TotalFlightEmissions][3][TotalFlightEmissions]",Submission!$O:$O,Submission!$H:$N,""))</f>
        <v>344685</v>
      </c>
      <c r="H1474" s="379"/>
      <c r="I1474" s="379"/>
    </row>
    <row r="1475" spans="1:10" ht="28.95" customHeight="1" x14ac:dyDescent="0.3">
      <c r="C1475" s="382" t="s">
        <v>959</v>
      </c>
      <c r="D1475" s="382"/>
      <c r="E1475" s="382"/>
      <c r="F1475" s="382"/>
      <c r="G1475" s="379" t="str">
        <f>_xlfn.CONCAT(_xlfn.XLOOKUP("[S05_TotalFlightEmissions][4][TotalFlightEmissions]",Submission!$O:$O,Submission!$H:$N,""))</f>
        <v>316663.35950637</v>
      </c>
      <c r="H1475" s="379"/>
      <c r="I1475" s="379"/>
    </row>
    <row r="1476" spans="1:10" ht="28.95" customHeight="1" x14ac:dyDescent="0.3">
      <c r="C1476" s="382" t="s">
        <v>960</v>
      </c>
      <c r="D1476" s="382"/>
      <c r="E1476" s="382"/>
      <c r="F1476" s="382"/>
      <c r="G1476" s="379" t="str">
        <f>_xlfn.CONCAT(_xlfn.XLOOKUP("[S05_TotalFlightEmissions][5][TotalFlightEmissions]",Submission!$O:$O,Submission!$H:$N,""))</f>
        <v>773</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5</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2</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4</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3</v>
      </c>
      <c r="G8" s="119"/>
      <c r="H8" s="105" t="str">
        <f>_xlfn.CONCAT(_xlfn.XLOOKUP("[S06_TotalVerifiers][1][CountVerifiersAviation]",Submission!$O:$O,Submission!$H:$N,""))</f>
        <v>0</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1</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3</v>
      </c>
      <c r="I17" s="132" t="str">
        <f>_xlfn.CONCAT(_xlfn.XLOOKUP("[S06_AccredCertVerifiersAnnexI][1][NumberCertified]",Submission!$O:$O,Submission!$H:$N,""))</f>
        <v>0</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3</v>
      </c>
      <c r="I18" s="132" t="str">
        <f>_xlfn.CONCAT(_xlfn.XLOOKUP("[S06_AccredCertVerifiersAnnexI][2][NumberCertified]",Submission!$O:$O,Submission!$H:$N,""))</f>
        <v>0</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2</v>
      </c>
      <c r="I19" s="132" t="str">
        <f>_xlfn.CONCAT(_xlfn.XLOOKUP("[S06_AccredCertVerifiersAnnexI][3][NumberCertified]",Submission!$O:$O,Submission!$H:$N,""))</f>
        <v>0</v>
      </c>
    </row>
    <row r="20" spans="2:9" ht="27.6" customHeight="1" x14ac:dyDescent="0.3">
      <c r="B20" s="20"/>
      <c r="C20" s="419" t="str">
        <f>_xlfn.CONCAT(_xlfn.XLOOKUP("[S06_AccredCertVerifiersAnnexI][4][AccredCertScope]",Submission!$O:$O,Submission!$H:$N,""))</f>
        <v xml:space="preserve">3 - Production of coke </v>
      </c>
      <c r="D20" s="420"/>
      <c r="E20" s="420"/>
      <c r="F20" s="420"/>
      <c r="G20" s="421"/>
      <c r="H20" s="132" t="str">
        <f>_xlfn.CONCAT(_xlfn.XLOOKUP("[S06_AccredCertVerifiersAnnexI][4][NumberAccredited]",Submission!$O:$O,Submission!$H:$N,""))</f>
        <v>1</v>
      </c>
      <c r="I20" s="132" t="str">
        <f>_xlfn.CONCAT(_xlfn.XLOOKUP("[S06_AccredCertVerifiersAnnexI][4][NumberCertified]",Submission!$O:$O,Submission!$H:$N,""))</f>
        <v>0</v>
      </c>
    </row>
    <row r="21" spans="2:9" ht="27.6" customHeight="1" x14ac:dyDescent="0.3">
      <c r="B21" s="20"/>
      <c r="C21" s="419" t="str">
        <f>_xlfn.CONCAT(_xlfn.XLOOKUP("[S06_AccredCertVerifiersAnnexI][5][AccredCertScope]",Submission!$O:$O,Submission!$H:$N,""))</f>
        <v xml:space="preserve">3 - Metal ore (including sulphide ore) roasting or sintering, including pelletisation </v>
      </c>
      <c r="D21" s="420"/>
      <c r="E21" s="420"/>
      <c r="F21" s="420"/>
      <c r="G21" s="421"/>
      <c r="H21" s="132" t="str">
        <f>_xlfn.CONCAT(_xlfn.XLOOKUP("[S06_AccredCertVerifiersAnnexI][5][NumberAccredited]",Submission!$O:$O,Submission!$H:$N,""))</f>
        <v>1</v>
      </c>
      <c r="I21" s="132" t="str">
        <f>_xlfn.CONCAT(_xlfn.XLOOKUP("[S06_AccredCertVerifiersAnnexI][5][NumberCertified]",Submission!$O:$O,Submission!$H:$N,""))</f>
        <v>0</v>
      </c>
    </row>
    <row r="22" spans="2:9" ht="27.6" customHeight="1" x14ac:dyDescent="0.3">
      <c r="B22" s="20"/>
      <c r="C22" s="419" t="str">
        <f>_xlfn.CONCAT(_xlfn.XLOOKUP("[S06_AccredCertVerifiersAnnexI][6][AccredCertScope]",Submission!$O:$O,Submission!$H:$N,""))</f>
        <v>3 - Production of pig iron or steel (primary or secondary fusion) including continuous casting</v>
      </c>
      <c r="D22" s="420"/>
      <c r="E22" s="420"/>
      <c r="F22" s="420"/>
      <c r="G22" s="421"/>
      <c r="H22" s="132" t="str">
        <f>_xlfn.CONCAT(_xlfn.XLOOKUP("[S06_AccredCertVerifiersAnnexI][6][NumberAccredited]",Submission!$O:$O,Submission!$H:$N,""))</f>
        <v>1</v>
      </c>
      <c r="I22" s="132" t="str">
        <f>_xlfn.CONCAT(_xlfn.XLOOKUP("[S06_AccredCertVerifiersAnnexI][6][NumberCertified]",Submission!$O:$O,Submission!$H:$N,""))</f>
        <v>0</v>
      </c>
    </row>
    <row r="23" spans="2:9" ht="27.6" customHeight="1" x14ac:dyDescent="0.3">
      <c r="B23" s="20"/>
      <c r="C23" s="419" t="str">
        <f>_xlfn.CONCAT(_xlfn.XLOOKUP("[S06_AccredCertVerifiersAnnexI][7][AccredCertScope]",Submission!$O:$O,Submission!$H:$N,""))</f>
        <v xml:space="preserve">4 - Production or processing of ferrous metals (including ferro-alloys) </v>
      </c>
      <c r="D23" s="420"/>
      <c r="E23" s="420"/>
      <c r="F23" s="420"/>
      <c r="G23" s="421"/>
      <c r="H23" s="132" t="str">
        <f>_xlfn.CONCAT(_xlfn.XLOOKUP("[S06_AccredCertVerifiersAnnexI][7][NumberAccredited]",Submission!$O:$O,Submission!$H:$N,""))</f>
        <v>2</v>
      </c>
      <c r="I23" s="132" t="str">
        <f>_xlfn.CONCAT(_xlfn.XLOOKUP("[S06_AccredCertVerifiersAnnexI][7][NumberCertified]",Submission!$O:$O,Submission!$H:$N,""))</f>
        <v>0</v>
      </c>
    </row>
    <row r="24" spans="2:9" ht="27.6" customHeight="1" x14ac:dyDescent="0.3">
      <c r="B24" s="20"/>
      <c r="C24" s="419" t="str">
        <f>_xlfn.CONCAT(_xlfn.XLOOKUP("[S06_AccredCertVerifiersAnnexI][8][AccredCertScope]",Submission!$O:$O,Submission!$H:$N,""))</f>
        <v xml:space="preserve">4 - Production of secondary aluminium </v>
      </c>
      <c r="D24" s="420"/>
      <c r="E24" s="420"/>
      <c r="F24" s="420"/>
      <c r="G24" s="421"/>
      <c r="H24" s="132" t="str">
        <f>_xlfn.CONCAT(_xlfn.XLOOKUP("[S06_AccredCertVerifiersAnnexI][8][NumberAccredited]",Submission!$O:$O,Submission!$H:$N,""))</f>
        <v>2</v>
      </c>
      <c r="I24" s="132" t="str">
        <f>_xlfn.CONCAT(_xlfn.XLOOKUP("[S06_AccredCertVerifiersAnnexI][8][NumberCertified]",Submission!$O:$O,Submission!$H:$N,""))</f>
        <v>0</v>
      </c>
    </row>
    <row r="25" spans="2:9" ht="27.6" customHeight="1" x14ac:dyDescent="0.3">
      <c r="B25" s="20"/>
      <c r="C25" s="419" t="str">
        <f>_xlfn.CONCAT(_xlfn.XLOOKUP("[S06_AccredCertVerifiersAnnexI][9][AccredCertScope]",Submission!$O:$O,Submission!$H:$N,""))</f>
        <v xml:space="preserve">4 - Production or processing of non-ferrous metals, including production of alloys </v>
      </c>
      <c r="D25" s="420"/>
      <c r="E25" s="420"/>
      <c r="F25" s="420"/>
      <c r="G25" s="421"/>
      <c r="H25" s="132" t="str">
        <f>_xlfn.CONCAT(_xlfn.XLOOKUP("[S06_AccredCertVerifiersAnnexI][9][NumberAccredited]",Submission!$O:$O,Submission!$H:$N,""))</f>
        <v>2</v>
      </c>
      <c r="I25" s="132" t="str">
        <f>_xlfn.CONCAT(_xlfn.XLOOKUP("[S06_AccredCertVerifiersAnnexI][9][NumberCertified]",Submission!$O:$O,Submission!$H:$N,""))</f>
        <v>0</v>
      </c>
    </row>
    <row r="26" spans="2:9" ht="27.6" customHeight="1" x14ac:dyDescent="0.3">
      <c r="B26" s="20"/>
      <c r="C26" s="419" t="str">
        <f>_xlfn.CONCAT(_xlfn.XLOOKUP("[S06_AccredCertVerifiersAnnexI][10][AccredCertScope]",Submission!$O:$O,Submission!$H:$N,""))</f>
        <v xml:space="preserve">5 - Production of primary aluminium (CO2 and PFC emissions) 6 </v>
      </c>
      <c r="D26" s="420"/>
      <c r="E26" s="420"/>
      <c r="F26" s="420"/>
      <c r="G26" s="421"/>
      <c r="H26" s="132" t="str">
        <f>_xlfn.CONCAT(_xlfn.XLOOKUP("[S06_AccredCertVerifiersAnnexI][10][NumberAccredited]",Submission!$O:$O,Submission!$H:$N,""))</f>
        <v>1</v>
      </c>
      <c r="I26" s="132" t="str">
        <f>_xlfn.CONCAT(_xlfn.XLOOKUP("[S06_AccredCertVerifiersAnnexI][10][NumberCertified]",Submission!$O:$O,Submission!$H:$N,""))</f>
        <v>0</v>
      </c>
    </row>
    <row r="27" spans="2:9" ht="27.6" customHeight="1" x14ac:dyDescent="0.3">
      <c r="B27" s="20"/>
      <c r="C27" s="419" t="str">
        <f>_xlfn.CONCAT(_xlfn.XLOOKUP("[S06_AccredCertVerifiersAnnexI][11][AccredCertScope]",Submission!$O:$O,Submission!$H:$N,""))</f>
        <v xml:space="preserve">6 - Production of cement clinker </v>
      </c>
      <c r="D27" s="420"/>
      <c r="E27" s="420"/>
      <c r="F27" s="420"/>
      <c r="G27" s="421"/>
      <c r="H27" s="132" t="str">
        <f>_xlfn.CONCAT(_xlfn.XLOOKUP("[S06_AccredCertVerifiersAnnexI][11][NumberAccredited]",Submission!$O:$O,Submission!$H:$N,""))</f>
        <v>3</v>
      </c>
      <c r="I27" s="132" t="str">
        <f>_xlfn.CONCAT(_xlfn.XLOOKUP("[S06_AccredCertVerifiersAnnexI][11][NumberCertified]",Submission!$O:$O,Submission!$H:$N,""))</f>
        <v>0</v>
      </c>
    </row>
    <row r="28" spans="2:9" ht="27.6" customHeight="1" x14ac:dyDescent="0.3">
      <c r="B28" s="20"/>
      <c r="C28" s="419" t="str">
        <f>_xlfn.CONCAT(_xlfn.XLOOKUP("[S06_AccredCertVerifiersAnnexI][12][AccredCertScope]",Submission!$O:$O,Submission!$H:$N,""))</f>
        <v xml:space="preserve">6 - Production of lime or calcination of dolomite or magnesite </v>
      </c>
      <c r="D28" s="420"/>
      <c r="E28" s="420"/>
      <c r="F28" s="420"/>
      <c r="G28" s="421"/>
      <c r="H28" s="132" t="str">
        <f>_xlfn.CONCAT(_xlfn.XLOOKUP("[S06_AccredCertVerifiersAnnexI][12][NumberAccredited]",Submission!$O:$O,Submission!$H:$N,""))</f>
        <v>3</v>
      </c>
      <c r="I28" s="132" t="str">
        <f>_xlfn.CONCAT(_xlfn.XLOOKUP("[S06_AccredCertVerifiersAnnexI][12][NumberCertified]",Submission!$O:$O,Submission!$H:$N,""))</f>
        <v>0</v>
      </c>
    </row>
    <row r="29" spans="2:9" ht="27.6" hidden="1" customHeight="1" outlineLevel="1" x14ac:dyDescent="0.3">
      <c r="B29" s="20"/>
      <c r="C29" s="419" t="str">
        <f>_xlfn.CONCAT(_xlfn.XLOOKUP("[S06_AccredCertVerifiersAnnexI][13][AccredCertScope]",Submission!$O:$O,Submission!$H:$N,""))</f>
        <v xml:space="preserve">6 - Manufacture of glass including glass fibre </v>
      </c>
      <c r="D29" s="420"/>
      <c r="E29" s="420"/>
      <c r="F29" s="420"/>
      <c r="G29" s="421"/>
      <c r="H29" s="132" t="str">
        <f>_xlfn.CONCAT(_xlfn.XLOOKUP("[S06_AccredCertVerifiersAnnexI][13][NumberAccredited]",Submission!$O:$O,Submission!$H:$N,""))</f>
        <v>3</v>
      </c>
      <c r="I29" s="132" t="str">
        <f>_xlfn.CONCAT(_xlfn.XLOOKUP("[S06_AccredCertVerifiersAnnexI][13][NumberCertified]",Submission!$O:$O,Submission!$H:$N,""))</f>
        <v>0</v>
      </c>
    </row>
    <row r="30" spans="2:9" ht="27.6" hidden="1" customHeight="1" outlineLevel="1" x14ac:dyDescent="0.3">
      <c r="B30" s="20"/>
      <c r="C30" s="419" t="str">
        <f>_xlfn.CONCAT(_xlfn.XLOOKUP("[S06_AccredCertVerifiersAnnexI][14][AccredCertScope]",Submission!$O:$O,Submission!$H:$N,""))</f>
        <v xml:space="preserve">6 - Manufacture of ceramic products by firing </v>
      </c>
      <c r="D30" s="420"/>
      <c r="E30" s="420"/>
      <c r="F30" s="420"/>
      <c r="G30" s="421"/>
      <c r="H30" s="132" t="str">
        <f>_xlfn.CONCAT(_xlfn.XLOOKUP("[S06_AccredCertVerifiersAnnexI][14][NumberAccredited]",Submission!$O:$O,Submission!$H:$N,""))</f>
        <v>3</v>
      </c>
      <c r="I30" s="132" t="str">
        <f>_xlfn.CONCAT(_xlfn.XLOOKUP("[S06_AccredCertVerifiersAnnexI][14][NumberCertified]",Submission!$O:$O,Submission!$H:$N,""))</f>
        <v>0</v>
      </c>
    </row>
    <row r="31" spans="2:9" ht="27.6" hidden="1" customHeight="1" outlineLevel="1" x14ac:dyDescent="0.3">
      <c r="B31" s="20"/>
      <c r="C31" s="419" t="str">
        <f>_xlfn.CONCAT(_xlfn.XLOOKUP("[S06_AccredCertVerifiersAnnexI][15][AccredCertScope]",Submission!$O:$O,Submission!$H:$N,""))</f>
        <v xml:space="preserve">6 - Manufacture of mineral wool insulation material </v>
      </c>
      <c r="D31" s="420"/>
      <c r="E31" s="420"/>
      <c r="F31" s="420"/>
      <c r="G31" s="421"/>
      <c r="H31" s="132" t="str">
        <f>_xlfn.CONCAT(_xlfn.XLOOKUP("[S06_AccredCertVerifiersAnnexI][15][NumberAccredited]",Submission!$O:$O,Submission!$H:$N,""))</f>
        <v>3</v>
      </c>
      <c r="I31" s="132" t="str">
        <f>_xlfn.CONCAT(_xlfn.XLOOKUP("[S06_AccredCertVerifiersAnnexI][15][NumberCertified]",Submission!$O:$O,Submission!$H:$N,""))</f>
        <v>0</v>
      </c>
    </row>
    <row r="32" spans="2:9" ht="27.6" hidden="1" customHeight="1" outlineLevel="1" x14ac:dyDescent="0.3">
      <c r="B32" s="20"/>
      <c r="C32" s="419" t="str">
        <f>_xlfn.CONCAT(_xlfn.XLOOKUP("[S06_AccredCertVerifiersAnnexI][16][AccredCertScope]",Submission!$O:$O,Submission!$H:$N,""))</f>
        <v>6 - Drying or calcination of gypsum or production of plaster boards and other gypsum products</v>
      </c>
      <c r="D32" s="420"/>
      <c r="E32" s="420"/>
      <c r="F32" s="420"/>
      <c r="G32" s="421"/>
      <c r="H32" s="132" t="str">
        <f>_xlfn.CONCAT(_xlfn.XLOOKUP("[S06_AccredCertVerifiersAnnexI][16][NumberAccredited]",Submission!$O:$O,Submission!$H:$N,""))</f>
        <v>3</v>
      </c>
      <c r="I32" s="132" t="str">
        <f>_xlfn.CONCAT(_xlfn.XLOOKUP("[S06_AccredCertVerifiersAnnexI][16][NumberCertified]",Submission!$O:$O,Submission!$H:$N,""))</f>
        <v>0</v>
      </c>
    </row>
    <row r="33" spans="2:9" ht="27.6" hidden="1" customHeight="1" outlineLevel="1" x14ac:dyDescent="0.3">
      <c r="B33" s="20"/>
      <c r="C33" s="419" t="str">
        <f>_xlfn.CONCAT(_xlfn.XLOOKUP("[S06_AccredCertVerifiersAnnexI][17][AccredCertScope]",Submission!$O:$O,Submission!$H:$N,""))</f>
        <v xml:space="preserve">7 - Production of pulp from timber or other fibrous materials </v>
      </c>
      <c r="D33" s="420"/>
      <c r="E33" s="420"/>
      <c r="F33" s="420"/>
      <c r="G33" s="421"/>
      <c r="H33" s="132" t="str">
        <f>_xlfn.CONCAT(_xlfn.XLOOKUP("[S06_AccredCertVerifiersAnnexI][17][NumberAccredited]",Submission!$O:$O,Submission!$H:$N,""))</f>
        <v>2</v>
      </c>
      <c r="I33" s="132" t="str">
        <f>_xlfn.CONCAT(_xlfn.XLOOKUP("[S06_AccredCertVerifiersAnnexI][17][NumberCertified]",Submission!$O:$O,Submission!$H:$N,""))</f>
        <v>0</v>
      </c>
    </row>
    <row r="34" spans="2:9" ht="27.6" hidden="1" customHeight="1" outlineLevel="1" x14ac:dyDescent="0.3">
      <c r="B34" s="20"/>
      <c r="C34" s="419" t="str">
        <f>_xlfn.CONCAT(_xlfn.XLOOKUP("[S06_AccredCertVerifiersAnnexI][18][AccredCertScope]",Submission!$O:$O,Submission!$H:$N,""))</f>
        <v>7 - Production of paper or cardboard</v>
      </c>
      <c r="D34" s="420"/>
      <c r="E34" s="420"/>
      <c r="F34" s="420"/>
      <c r="G34" s="421"/>
      <c r="H34" s="132" t="str">
        <f>_xlfn.CONCAT(_xlfn.XLOOKUP("[S06_AccredCertVerifiersAnnexI][18][NumberAccredited]",Submission!$O:$O,Submission!$H:$N,""))</f>
        <v>2</v>
      </c>
      <c r="I34" s="132" t="str">
        <f>_xlfn.CONCAT(_xlfn.XLOOKUP("[S06_AccredCertVerifiersAnnexI][18][NumberCertified]",Submission!$O:$O,Submission!$H:$N,""))</f>
        <v>0</v>
      </c>
    </row>
    <row r="35" spans="2:9" ht="27.6" hidden="1" customHeight="1" outlineLevel="1" x14ac:dyDescent="0.3">
      <c r="B35" s="20"/>
      <c r="C35" s="419" t="str">
        <f>_xlfn.CONCAT(_xlfn.XLOOKUP("[S06_AccredCertVerifiersAnnexI][19][AccredCertScope]",Submission!$O:$O,Submission!$H:$N,""))</f>
        <v xml:space="preserve">8 - Production of carbon black </v>
      </c>
      <c r="D35" s="420"/>
      <c r="E35" s="420"/>
      <c r="F35" s="420"/>
      <c r="G35" s="421"/>
      <c r="H35" s="132" t="str">
        <f>_xlfn.CONCAT(_xlfn.XLOOKUP("[S06_AccredCertVerifiersAnnexI][19][NumberAccredited]",Submission!$O:$O,Submission!$H:$N,""))</f>
        <v>1</v>
      </c>
      <c r="I35" s="132" t="str">
        <f>_xlfn.CONCAT(_xlfn.XLOOKUP("[S06_AccredCertVerifiersAnnexI][19][NumberCertified]",Submission!$O:$O,Submission!$H:$N,""))</f>
        <v>0</v>
      </c>
    </row>
    <row r="36" spans="2:9" ht="27.6" hidden="1" customHeight="1" outlineLevel="1" x14ac:dyDescent="0.3">
      <c r="B36" s="20"/>
      <c r="C36" s="419" t="str">
        <f>_xlfn.CONCAT(_xlfn.XLOOKUP("[S06_AccredCertVerifiersAnnexI][20][AccredCertScope]",Submission!$O:$O,Submission!$H:$N,""))</f>
        <v xml:space="preserve">8 - Production of ammonia </v>
      </c>
      <c r="D36" s="420"/>
      <c r="E36" s="420"/>
      <c r="F36" s="420"/>
      <c r="G36" s="421"/>
      <c r="H36" s="132" t="str">
        <f>_xlfn.CONCAT(_xlfn.XLOOKUP("[S06_AccredCertVerifiersAnnexI][20][NumberAccredited]",Submission!$O:$O,Submission!$H:$N,""))</f>
        <v>1</v>
      </c>
      <c r="I36" s="132" t="str">
        <f>_xlfn.CONCAT(_xlfn.XLOOKUP("[S06_AccredCertVerifiersAnnexI][20][NumberCertified]",Submission!$O:$O,Submission!$H:$N,""))</f>
        <v>0</v>
      </c>
    </row>
    <row r="37" spans="2:9" ht="27.6" hidden="1" customHeight="1" outlineLevel="1" x14ac:dyDescent="0.3">
      <c r="B37" s="20"/>
      <c r="C37" s="419" t="str">
        <f>_xlfn.CONCAT(_xlfn.XLOOKUP("[S06_AccredCertVerifiersAnnexI][21][AccredCertScope]",Submission!$O:$O,Submission!$H:$N,""))</f>
        <v xml:space="preserve">8 - Production of bulk organic chemicals by cracking, reforming, partial or full oxidation or by similar processes </v>
      </c>
      <c r="D37" s="420"/>
      <c r="E37" s="420"/>
      <c r="F37" s="420"/>
      <c r="G37" s="421"/>
      <c r="H37" s="132" t="str">
        <f>_xlfn.CONCAT(_xlfn.XLOOKUP("[S06_AccredCertVerifiersAnnexI][21][NumberAccredited]",Submission!$O:$O,Submission!$H:$N,""))</f>
        <v>1</v>
      </c>
      <c r="I37" s="132" t="str">
        <f>_xlfn.CONCAT(_xlfn.XLOOKUP("[S06_AccredCertVerifiersAnnexI][21][NumberCertified]",Submission!$O:$O,Submission!$H:$N,""))</f>
        <v>0</v>
      </c>
    </row>
    <row r="38" spans="2:9" ht="27.6" hidden="1" customHeight="1" outlineLevel="1" x14ac:dyDescent="0.3">
      <c r="B38" s="20"/>
      <c r="C38" s="419" t="str">
        <f>_xlfn.CONCAT(_xlfn.XLOOKUP("[S06_AccredCertVerifiersAnnexI][22][AccredCertScope]",Submission!$O:$O,Submission!$H:$N,""))</f>
        <v xml:space="preserve">8 - Production of hydrogen (H2) and synthesis gas by reforming or partial oxidation </v>
      </c>
      <c r="D38" s="420"/>
      <c r="E38" s="420"/>
      <c r="F38" s="420"/>
      <c r="G38" s="421"/>
      <c r="H38" s="132" t="str">
        <f>_xlfn.CONCAT(_xlfn.XLOOKUP("[S06_AccredCertVerifiersAnnexI][22][NumberAccredited]",Submission!$O:$O,Submission!$H:$N,""))</f>
        <v>1</v>
      </c>
      <c r="I38" s="132" t="str">
        <f>_xlfn.CONCAT(_xlfn.XLOOKUP("[S06_AccredCertVerifiersAnnexI][22][NumberCertified]",Submission!$O:$O,Submission!$H:$N,""))</f>
        <v>0</v>
      </c>
    </row>
    <row r="39" spans="2:9" ht="27.6" hidden="1" customHeight="1" outlineLevel="1" x14ac:dyDescent="0.3">
      <c r="B39" s="20"/>
      <c r="C39" s="419" t="str">
        <f>_xlfn.CONCAT(_xlfn.XLOOKUP("[S06_AccredCertVerifiersAnnexI][23][AccredCertScope]",Submission!$O:$O,Submission!$H:$N,""))</f>
        <v>8 - Production of soda ash (Na2CO3) and sodium bicarbonate (NaHCO3)</v>
      </c>
      <c r="D39" s="420"/>
      <c r="E39" s="420"/>
      <c r="F39" s="420"/>
      <c r="G39" s="421"/>
      <c r="H39" s="132" t="str">
        <f>_xlfn.CONCAT(_xlfn.XLOOKUP("[S06_AccredCertVerifiersAnnexI][23][NumberAccredited]",Submission!$O:$O,Submission!$H:$N,""))</f>
        <v>1</v>
      </c>
      <c r="I39" s="132" t="str">
        <f>_xlfn.CONCAT(_xlfn.XLOOKUP("[S06_AccredCertVerifiersAnnexI][23][NumberCertified]",Submission!$O:$O,Submission!$H:$N,""))</f>
        <v>0</v>
      </c>
    </row>
    <row r="40" spans="2:9" ht="27.6" hidden="1" customHeight="1" outlineLevel="1" x14ac:dyDescent="0.3">
      <c r="B40" s="20"/>
      <c r="C40" s="419" t="str">
        <f>_xlfn.CONCAT(_xlfn.XLOOKUP("[S06_AccredCertVerifiersAnnexI][24][AccredCertScope]",Submission!$O:$O,Submission!$H:$N,""))</f>
        <v>98 - Other activities pursuant to Article 10a of Directive 2003/87/EC</v>
      </c>
      <c r="D40" s="420"/>
      <c r="E40" s="420"/>
      <c r="F40" s="420"/>
      <c r="G40" s="421"/>
      <c r="H40" s="132" t="str">
        <f>_xlfn.CONCAT(_xlfn.XLOOKUP("[S06_AccredCertVerifiersAnnexI][24][NumberAccredited]",Submission!$O:$O,Submission!$H:$N,""))</f>
        <v>3</v>
      </c>
      <c r="I40" s="132" t="str">
        <f>_xlfn.CONCAT(_xlfn.XLOOKUP("[S06_AccredCertVerifiersAnnexI][24][NumberCertified]",Submission!$O:$O,Submission!$H:$N,""))</f>
        <v>0</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Yes</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Yes</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Partially</v>
      </c>
      <c r="H60" s="260"/>
      <c r="I60" s="47" t="str">
        <f>_xlfn.CONCAT(_xlfn.XLOOKUP("[S06_ApplicationInformationExchangeRequirements1][3][FromOtherMS]",Submission!$O:$O,Submission!$H:$N,""))</f>
        <v>Partially</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1</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1</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DK-382</v>
      </c>
      <c r="D78" s="105" t="str">
        <f>_xlfn.CONCAT(_xlfn.XLOOKUP("[S06_InstallationsConservativeEstimates][1][InstallationAnnualEmissionstCO2e]",Submission!$O:$O,Submission!$H:$N,""))</f>
        <v>11</v>
      </c>
      <c r="E78" s="157" t="str">
        <f>_xlfn.CONCAT(_xlfn.XLOOKUP("[S06_InstallationsConservativeEstimates][1][ReasonConservativeEstimate]",Submission!$O:$O,Submission!$H:$N,""))</f>
        <v>No emission report submitted by the 31st of March</v>
      </c>
      <c r="F78" s="189" t="str">
        <f>_xlfn.CONCAT(_xlfn.XLOOKUP("[S06_InstallationsConservativeEstimates][1][InstallationConservativeShare]",Submission!$O:$O,Submission!$H:$N,""))</f>
        <v>1</v>
      </c>
      <c r="G78" s="72" t="str">
        <f>_xlfn.CONCAT(_xlfn.XLOOKUP("[S06_InstallationsConservativeEstimates][1][ConservativeMethod]",Submission!$O:$O,Submission!$H:$N,""))</f>
        <v>Surrogate data (th only fuel source - natural gas - has been disconnected)</v>
      </c>
      <c r="H78" s="72" t="str">
        <f>_xlfn.CONCAT(_xlfn.XLOOKUP("[S06_InstallationsConservativeEstimates][1][FurtherAction]",Submission!$O:$O,Submission!$H:$N,""))</f>
        <v>Reminder or formal warnings on sanctions sent to operator</v>
      </c>
      <c r="I78" s="72" t="str">
        <f>_xlfn.CONCAT(_xlfn.XLOOKUP("[S06_InstallationsConservativeEstimates][1][OtherAction]",Submission!$O:$O,Submission!$H:$N,""))</f>
        <v>Reminder and formal warning</v>
      </c>
    </row>
    <row r="79" spans="1:9" ht="60.6" customHeight="1" x14ac:dyDescent="0.3">
      <c r="A79" s="13"/>
      <c r="C79" s="72" t="str">
        <f>_xlfn.CONCAT(_xlfn.XLOOKUP("[S06_InstallationsConservativeEstimates][2][InstallationID]",Submission!$O:$O,Submission!$H:$N,""))</f>
        <v>DK-401</v>
      </c>
      <c r="D79" s="105" t="str">
        <f>_xlfn.CONCAT(_xlfn.XLOOKUP("[S06_InstallationsConservativeEstimates][2][InstallationAnnualEmissionstCO2e]",Submission!$O:$O,Submission!$H:$N,""))</f>
        <v>3</v>
      </c>
      <c r="E79" s="157" t="str">
        <f>_xlfn.CONCAT(_xlfn.XLOOKUP("[S06_InstallationsConservativeEstimates][2][ReasonConservativeEstimate]",Submission!$O:$O,Submission!$H:$N,""))</f>
        <v>No emission report submitted by the 31st of March</v>
      </c>
      <c r="F79" s="189" t="str">
        <f>_xlfn.CONCAT(_xlfn.XLOOKUP("[S06_InstallationsConservativeEstimates][2][InstallationConservativeShare]",Submission!$O:$O,Submission!$H:$N,""))</f>
        <v>1</v>
      </c>
      <c r="G79" s="72" t="str">
        <f>_xlfn.CONCAT(_xlfn.XLOOKUP("[S06_InstallationsConservativeEstimates][2][ConservativeMethod]",Submission!$O:$O,Submission!$H:$N,""))</f>
        <v>Surrogate data: Amount of electricity delivered to the grid and correlation between electricity delivered and gas oil combusted in earlier reportings.</v>
      </c>
      <c r="H79" s="72" t="str">
        <f>_xlfn.CONCAT(_xlfn.XLOOKUP("[S06_InstallationsConservativeEstimates][2][FurtherAction]",Submission!$O:$O,Submission!$H:$N,""))</f>
        <v>Combination of the above</v>
      </c>
      <c r="I79" s="72" t="str">
        <f>_xlfn.CONCAT(_xlfn.XLOOKUP("[S06_InstallationsConservativeEstimates][2][OtherAction]",Submission!$O:$O,Submission!$H:$N,""))</f>
        <v xml:space="preserve">Reminder, formal warning and fines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2</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Non-material misstatements</v>
      </c>
      <c r="F133" s="364"/>
      <c r="G133" s="105" t="str">
        <f>_xlfn.CONCAT(_xlfn.XLOOKUP("[S06_InstallationsVerificationReportsIssueDetail]["&amp;1&amp;"][NumberOfInstallations]",Submission!$O:$O,Submission!$H:$N,""))</f>
        <v>4</v>
      </c>
      <c r="H133" s="108" t="str">
        <f>_xlfn.CONCAT(_xlfn.XLOOKUP("[S06_InstallationsVerificationReportsIssueDetail]["&amp;1&amp;"][NumberOfIssues]",Submission!$O:$O,Submission!$H:$N,""))</f>
        <v>4</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35 - Production of pulp as specified in Annex I of Directive 2003/87/EC</v>
      </c>
      <c r="D134" s="364"/>
      <c r="E134" s="274" t="str">
        <f>_xlfn.CONCAT(_xlfn.XLOOKUP("[S06_InstallationsVerificationReportsIssueDetail]["&amp;1+ROW(B134)-ROW($B$133)&amp;"][TypeOfIssue]",Submission!$O:$O,Submission!$H:$N,""))</f>
        <v>Non-material misstatements</v>
      </c>
      <c r="F134" s="364"/>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20 - Combustion of fuels as specified in Annex I of Directive 2003/87/EC</v>
      </c>
      <c r="D135" s="364"/>
      <c r="E135" s="274" t="str">
        <f>_xlfn.CONCAT(_xlfn.XLOOKUP("[S06_InstallationsVerificationReportsIssueDetail]["&amp;1+ROW(B135)-ROW($B$133)&amp;"][TypeOfIssue]",Submission!$O:$O,Submission!$H:$N,""))</f>
        <v>Non-conformities not leading to a negative verification opinion statement</v>
      </c>
      <c r="F135" s="364"/>
      <c r="G135" s="105" t="str">
        <f>_xlfn.CONCAT(_xlfn.XLOOKUP("[S06_InstallationsVerificationReportsIssueDetail]["&amp;1+ROW(B135)-ROW($B$133)&amp;"][NumberOfInstallations]",Submission!$O:$O,Submission!$H:$N,""))</f>
        <v>24</v>
      </c>
      <c r="H135" s="108" t="str">
        <f>_xlfn.CONCAT(_xlfn.XLOOKUP("[S06_InstallationsVerificationReportsIssueDetail]["&amp;1+ROW(B135)-ROW($B$133)&amp;"][NumberOfIssues]",Submission!$O:$O,Submission!$H:$N,""))</f>
        <v>26</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35 - Production of pulp as specified in Annex I of Directive 2003/87/EC</v>
      </c>
      <c r="D136" s="364"/>
      <c r="E136" s="274" t="str">
        <f>_xlfn.CONCAT(_xlfn.XLOOKUP("[S06_InstallationsVerificationReportsIssueDetail]["&amp;1+ROW(B136)-ROW($B$133)&amp;"][TypeOfIssue]",Submission!$O:$O,Submission!$H:$N,""))</f>
        <v>Non-conformities not leading to a negative verification opinion statement</v>
      </c>
      <c r="F136" s="364"/>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2</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20 - Combustion of fuels as specified in Annex I of Directive 2003/87/EC</v>
      </c>
      <c r="D137" s="364"/>
      <c r="E137" s="274" t="str">
        <f>_xlfn.CONCAT(_xlfn.XLOOKUP("[S06_InstallationsVerificationReportsIssueDetail]["&amp;1+ROW(B137)-ROW($B$133)&amp;"][TypeOfIssue]",Submission!$O:$O,Submission!$H:$N,""))</f>
        <v>Non-compliance with Implementing Regulation (EU) 2018/2066</v>
      </c>
      <c r="F137" s="364"/>
      <c r="G137" s="105" t="str">
        <f>_xlfn.CONCAT(_xlfn.XLOOKUP("[S06_InstallationsVerificationReportsIssueDetail]["&amp;1+ROW(B137)-ROW($B$133)&amp;"][NumberOfInstallations]",Submission!$O:$O,Submission!$H:$N,""))</f>
        <v>27</v>
      </c>
      <c r="H137" s="108" t="str">
        <f>_xlfn.CONCAT(_xlfn.XLOOKUP("[S06_InstallationsVerificationReportsIssueDetail]["&amp;1+ROW(B137)-ROW($B$133)&amp;"][NumberOfIssues]",Submission!$O:$O,Submission!$H:$N,""))</f>
        <v>35</v>
      </c>
      <c r="I137" s="189" t="str">
        <f>_xlfn.CONCAT(_xlfn.XLOOKUP("[S06_InstallationsVerificationReportsIssueDetail]["&amp;1+ROW(B137)-ROW($B$133)&amp;"][ShareOfReportsConservativeEstimate]",Submission!$O:$O,Submission!$H:$N,""))</f>
        <v>0</v>
      </c>
    </row>
    <row r="138" spans="1:9" ht="26.4" customHeight="1" x14ac:dyDescent="0.3">
      <c r="A138" s="13"/>
      <c r="C138" s="274" t="str">
        <f>_xlfn.CONCAT(_xlfn.XLOOKUP("[S06_InstallationsVerificationReportsIssueDetail]["&amp;1+ROW(B138)-ROW($B$133)&amp;"][AnnexIActivity]",Submission!$O:$O,Submission!$H:$N,""))</f>
        <v>35 - Production of pulp as specified in Annex I of Directive 2003/87/EC</v>
      </c>
      <c r="D138" s="364"/>
      <c r="E138" s="274" t="str">
        <f>_xlfn.CONCAT(_xlfn.XLOOKUP("[S06_InstallationsVerificationReportsIssueDetail]["&amp;1+ROW(B138)-ROW($B$133)&amp;"][TypeOfIssue]",Submission!$O:$O,Submission!$H:$N,""))</f>
        <v>Non-compliance with Implementing Regulation (EU) 2018/2066</v>
      </c>
      <c r="F138" s="364"/>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9" t="str">
        <f>_xlfn.CONCAT(_xlfn.XLOOKUP("[S06_InstallationsVerificationReportsIssueDetail]["&amp;1+ROW(B138)-ROW($B$133)&amp;"][ShareOfReportsConservativeEstimate]",Submission!$O:$O,Submission!$H:$N,""))</f>
        <v>0</v>
      </c>
    </row>
    <row r="139" spans="1:9" ht="26.4" customHeight="1" x14ac:dyDescent="0.3">
      <c r="A139" s="13"/>
      <c r="C139" s="274" t="str">
        <f>_xlfn.CONCAT(_xlfn.XLOOKUP("[S06_InstallationsVerificationReportsIssueDetail]["&amp;1+ROW(B139)-ROW($B$133)&amp;"][AnnexIActivity]",Submission!$O:$O,Submission!$H:$N,""))</f>
        <v>32 - Manufacture of ceramic products as specified in Annex I of Directive 2003/87/EC</v>
      </c>
      <c r="D139" s="364"/>
      <c r="E139" s="274" t="str">
        <f>_xlfn.CONCAT(_xlfn.XLOOKUP("[S06_InstallationsVerificationReportsIssueDetail]["&amp;1+ROW(B139)-ROW($B$133)&amp;"][TypeOfIssue]",Submission!$O:$O,Submission!$H:$N,""))</f>
        <v>Non-compliance with Implementing Regulation (EU) 2018/2066</v>
      </c>
      <c r="F139" s="364"/>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1</v>
      </c>
      <c r="I139" s="189" t="str">
        <f>_xlfn.CONCAT(_xlfn.XLOOKUP("[S06_InstallationsVerificationReportsIssueDetail]["&amp;1+ROW(B139)-ROW($B$133)&amp;"][ShareOfReportsConservativeEstimate]",Submission!$O:$O,Submission!$H:$N,""))</f>
        <v>0</v>
      </c>
    </row>
    <row r="140" spans="1:9" ht="26.4" customHeight="1" x14ac:dyDescent="0.3">
      <c r="A140" s="13"/>
      <c r="C140" s="274" t="str">
        <f>_xlfn.CONCAT(_xlfn.XLOOKUP("[S06_InstallationsVerificationReportsIssueDetail]["&amp;1+ROW(B140)-ROW($B$133)&amp;"][AnnexIActivity]",Submission!$O:$O,Submission!$H:$N,""))</f>
        <v>20 - Combustion of fuels as specified in Annex I of Directive 2003/87/EC</v>
      </c>
      <c r="D140" s="364"/>
      <c r="E140" s="274" t="str">
        <f>_xlfn.CONCAT(_xlfn.XLOOKUP("[S06_InstallationsVerificationReportsIssueDetail]["&amp;1+ROW(B140)-ROW($B$133)&amp;"][TypeOfIssue]",Submission!$O:$O,Submission!$H:$N,""))</f>
        <v>Recommendations for improvement</v>
      </c>
      <c r="F140" s="364"/>
      <c r="G140" s="105" t="str">
        <f>_xlfn.CONCAT(_xlfn.XLOOKUP("[S06_InstallationsVerificationReportsIssueDetail]["&amp;1+ROW(B140)-ROW($B$133)&amp;"][NumberOfInstallations]",Submission!$O:$O,Submission!$H:$N,""))</f>
        <v>48</v>
      </c>
      <c r="H140" s="108" t="str">
        <f>_xlfn.CONCAT(_xlfn.XLOOKUP("[S06_InstallationsVerificationReportsIssueDetail]["&amp;1+ROW(B140)-ROW($B$133)&amp;"][NumberOfIssues]",Submission!$O:$O,Submission!$H:$N,""))</f>
        <v>52</v>
      </c>
      <c r="I140" s="189" t="str">
        <f>_xlfn.CONCAT(_xlfn.XLOOKUP("[S06_InstallationsVerificationReportsIssueDetail]["&amp;1+ROW(B140)-ROW($B$133)&amp;"][ShareOfReportsConservativeEstimate]",Submission!$O:$O,Submission!$H:$N,""))</f>
        <v>0</v>
      </c>
    </row>
    <row r="141" spans="1:9" ht="26.4" customHeight="1" x14ac:dyDescent="0.3">
      <c r="A141" s="13"/>
      <c r="C141" s="274" t="str">
        <f>_xlfn.CONCAT(_xlfn.XLOOKUP("[S06_InstallationsVerificationReportsIssueDetail]["&amp;1+ROW(B141)-ROW($B$133)&amp;"][AnnexIActivity]",Submission!$O:$O,Submission!$H:$N,""))</f>
        <v>32 - Manufacture of ceramic products as specified in Annex I of Directive 2003/87/EC</v>
      </c>
      <c r="D141" s="364"/>
      <c r="E141" s="274" t="str">
        <f>_xlfn.CONCAT(_xlfn.XLOOKUP("[S06_InstallationsVerificationReportsIssueDetail]["&amp;1+ROW(B141)-ROW($B$133)&amp;"][TypeOfIssue]",Submission!$O:$O,Submission!$H:$N,""))</f>
        <v>Recommendations for improvement</v>
      </c>
      <c r="F141" s="364"/>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9" t="str">
        <f>_xlfn.CONCAT(_xlfn.XLOOKUP("[S06_InstallationsVerificationReportsIssueDetail]["&amp;1+ROW(B141)-ROW($B$133)&amp;"][ShareOfReportsConservativeEstimate]",Submission!$O:$O,Submission!$H:$N,""))</f>
        <v>0</v>
      </c>
    </row>
    <row r="142" spans="1:9" ht="26.4" customHeight="1" x14ac:dyDescent="0.3">
      <c r="A142" s="13"/>
      <c r="C142" s="274" t="str">
        <f>_xlfn.CONCAT(_xlfn.XLOOKUP("[S06_InstallationsVerificationReportsIssueDetail]["&amp;1+ROW(B142)-ROW($B$133)&amp;"][AnnexIActivity]",Submission!$O:$O,Submission!$H:$N,""))</f>
        <v>35 - Production of pulp as specified in Annex I of Directive 2003/87/EC</v>
      </c>
      <c r="D142" s="364"/>
      <c r="E142" s="274" t="str">
        <f>_xlfn.CONCAT(_xlfn.XLOOKUP("[S06_InstallationsVerificationReportsIssueDetail]["&amp;1+ROW(B142)-ROW($B$133)&amp;"][TypeOfIssue]",Submission!$O:$O,Submission!$H:$N,""))</f>
        <v>Recommendations for improvement</v>
      </c>
      <c r="F142" s="364"/>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2</v>
      </c>
      <c r="I142" s="189" t="str">
        <f>_xlfn.CONCAT(_xlfn.XLOOKUP("[S06_InstallationsVerificationReportsIssueDetail]["&amp;1+ROW(B142)-ROW($B$133)&amp;"][ShareOfReportsConservativeEstimate]",Submission!$O:$O,Submission!$H:$N,""))</f>
        <v>0</v>
      </c>
    </row>
    <row r="143" spans="1:9" ht="26.4" customHeight="1" x14ac:dyDescent="0.3">
      <c r="A143" s="13"/>
      <c r="C143" s="274" t="str">
        <f>_xlfn.CONCAT(_xlfn.XLOOKUP("[S06_InstallationsVerificationReportsIssueDetail]["&amp;1+ROW(B143)-ROW($B$133)&amp;"][AnnexIActivity]",Submission!$O:$O,Submission!$H:$N,""))</f>
        <v>34 - Drying or calcination of gypsum or production of plaster boards and other gypsum products, as specified in Annex I of Directive 2003/87/EC</v>
      </c>
      <c r="D143" s="364"/>
      <c r="E143" s="274" t="str">
        <f>_xlfn.CONCAT(_xlfn.XLOOKUP("[S06_InstallationsVerificationReportsIssueDetail]["&amp;1+ROW(B143)-ROW($B$133)&amp;"][TypeOfIssue]",Submission!$O:$O,Submission!$H:$N,""))</f>
        <v>Recommendations for improvement</v>
      </c>
      <c r="F143" s="364"/>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1</v>
      </c>
      <c r="I143" s="189" t="str">
        <f>_xlfn.CONCAT(_xlfn.XLOOKUP("[S06_InstallationsVerificationReportsIssueDetail]["&amp;1+ROW(B143)-ROW($B$133)&amp;"][ShareOfReportsConservativeEstimate]",Submission!$O:$O,Submission!$H:$N,""))</f>
        <v>0</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0.793548387096774</v>
      </c>
      <c r="H232" s="255" t="str">
        <f>_xlfn.CONCAT(_xlfn.XLOOKUP("[S06_InstallationsVerificationReportChecksDetail1][4][FurtherInformation]",Submission!$O:$O,Submission!$H:$N,""))</f>
        <v>All installations that deliver energy to the grid are cross checked with other energy reporting (246/310)</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0.538709677419355</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All emission reports and verification reports are checked in a spread sheet and compared with information from the monitoring plans. 54 % of all installations where then examined in detail because of flags/warnings in the spread sheet. Other installations have been examined because of other reasons. The control continues after 30 June.</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None</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None</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Updating monitoring plans, conservative estimation of emissions, report to the relevant accrediting bodies.</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Yes</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73</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46487</v>
      </c>
      <c r="D295" s="105" t="str">
        <f>_xlfn.CONCAT(_xlfn.XLOOKUP("[S06_AircraftOperatorsConservativeEstimates][1][AircraftOperatorsAnnualEmissionsCO2e]",Submission!$O:$O,Submission!$H:$N,""))</f>
        <v>14778</v>
      </c>
      <c r="E295" s="158" t="str">
        <f>_xlfn.CONCAT(_xlfn.XLOOKUP("[S06_AircraftOperatorsConservativeEstimates][1][ReasonConservativeEstimate]",Submission!$O:$O,Submission!$H:$N,""))</f>
        <v>No emission report submitted by the 31st of March</v>
      </c>
      <c r="F295" s="136" t="str">
        <f>_xlfn.CONCAT(_xlfn.XLOOKUP("[S06_AircraftOperatorsConservativeEstimates][1][AircraftOperatorsConservativeShare]",Submission!$O:$O,Submission!$H:$N,""))</f>
        <v>1</v>
      </c>
      <c r="G295" s="72" t="str">
        <f>_xlfn.CONCAT(_xlfn.XLOOKUP("[S06_AircraftOperatorsConservativeEstimates][1][ConservativeMethod]",Submission!$O:$O,Submission!$H:$N,""))</f>
        <v>EUCTR. EU ETSSF AER generator</v>
      </c>
      <c r="H295" s="72" t="str">
        <f>_xlfn.CONCAT(_xlfn.XLOOKUP("[S06_AircraftOperatorsConservativeEstimates][1][FurtherAction]",Submission!$O:$O,Submission!$H:$N,""))</f>
        <v>Other please specify</v>
      </c>
      <c r="I295" s="72" t="str">
        <f>_xlfn.CONCAT(_xlfn.XLOOKUP("[S06_AircraftOperatorsConservativeEstimates][1][FurtherActionOther]",Submission!$O:$O,Submission!$H:$N,""))</f>
        <v>The aircraft operator went bankrupt. Estate administrator was notified on obligations, but did not submit a report on behalf of the bankrupcy estate.</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1</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Yes</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Non-conformities not leading to a negative verification opinion statement</v>
      </c>
      <c r="D332" s="420"/>
      <c r="E332" s="421"/>
      <c r="F332" s="132" t="str">
        <f>_xlfn.CONCAT(_xlfn.XLOOKUP("[S06_AircraftOperatorsVerificationReportIssuesEmissions][1][NumberOfAircraftOperators]",Submission!$O:$O,Submission!$H:$N,""))</f>
        <v>1</v>
      </c>
      <c r="G332" s="132" t="str">
        <f>_xlfn.CONCAT(_xlfn.XLOOKUP("[S06_AircraftOperatorsVerificationReportIssuesEmissions][1][NumberOfIssues]",Submission!$O:$O,Submission!$H:$N,""))</f>
        <v>1</v>
      </c>
      <c r="H332" s="442" t="str">
        <f>_xlfn.CONCAT(_xlfn.XLOOKUP("[S06_AircraftOperatorsVerificationReportIssuesEmissions][1][ShareOfReportsConservativeEstimate]",Submission!$O:$O,Submission!$H:$N,""))</f>
        <v>0</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Yes</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EUCTR ETSSF for EU ETS reporting and CH data &amp; EMIS CSF/CRT for CORSIA</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0.3</v>
      </c>
      <c r="H355" s="129" t="str">
        <f>_xlfn.CONCAT(_xlfn.XLOOKUP("[S06_AircraftOperatorsVerificationEmissionReportChecks1][4][SelectingCriteria]",Submission!$O:$O,Submission!$H:$N,""))</f>
        <v>Random selection</v>
      </c>
      <c r="I355" s="130" t="str">
        <f>_xlfn.CONCAT(_xlfn.XLOOKUP("[S06_AircraftOperatorsVerificationEmissionReportChecks1][4][FurtherInformation]",Submission!$O:$O,Submission!$H:$N,""))</f>
        <v>Focused on number of flight per aerodromepair and flight referred to as exempted</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None</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None</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Contacted 1 operator in relation to PSO flights. CA noted correctly applies conditions acc. To approved AEMP</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Yes</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1</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No</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