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434AB6FD-26F4-476C-B831-919182E3A1B8}"/>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633" i="43" l="1"/>
  <c r="O2632" i="43"/>
  <c r="O2631" i="43"/>
  <c r="O2630" i="43"/>
  <c r="O2629" i="43"/>
  <c r="O2628" i="43"/>
  <c r="O2627" i="43"/>
  <c r="O2626" i="43"/>
  <c r="O2625" i="43"/>
  <c r="O2624" i="43"/>
  <c r="O2623" i="43"/>
  <c r="O2622" i="43"/>
  <c r="O2621" i="43"/>
  <c r="O2620" i="43"/>
  <c r="O2619" i="43"/>
  <c r="O2618" i="43"/>
  <c r="O2617" i="43"/>
  <c r="O2616" i="43"/>
  <c r="O2615" i="43"/>
  <c r="O2614" i="43"/>
  <c r="O2613" i="43"/>
  <c r="O2612" i="43"/>
  <c r="O2611" i="43"/>
  <c r="O2610" i="43"/>
  <c r="O2609" i="43"/>
  <c r="O2608" i="43"/>
  <c r="O2607" i="43"/>
  <c r="O2606" i="43"/>
  <c r="O2605" i="43"/>
  <c r="O2604" i="43"/>
  <c r="O2603" i="43"/>
  <c r="O2602" i="43"/>
  <c r="O2601" i="43"/>
  <c r="O2600" i="43"/>
  <c r="O2599" i="43"/>
  <c r="O2598" i="43"/>
  <c r="O2597" i="43"/>
  <c r="O2596" i="43"/>
  <c r="O2595" i="43"/>
  <c r="O2594" i="43"/>
  <c r="O2593" i="43"/>
  <c r="O2592" i="43"/>
  <c r="O2591" i="43"/>
  <c r="O2590" i="43"/>
  <c r="O2589" i="43"/>
  <c r="O2588" i="43"/>
  <c r="O2587" i="43"/>
  <c r="O2586" i="43"/>
  <c r="O2585" i="43"/>
  <c r="O2584" i="43"/>
  <c r="O2583" i="43"/>
  <c r="O2582" i="43"/>
  <c r="O2581" i="43"/>
  <c r="O2580" i="43"/>
  <c r="O2579" i="43"/>
  <c r="O2578" i="43"/>
  <c r="O2577" i="43"/>
  <c r="O2576" i="43"/>
  <c r="O2575" i="43"/>
  <c r="O2574" i="43"/>
  <c r="O2573" i="43"/>
  <c r="O2572" i="43"/>
  <c r="O2571" i="43"/>
  <c r="O2570" i="43"/>
  <c r="O2569" i="43"/>
  <c r="O2568" i="43"/>
  <c r="O2567" i="43"/>
  <c r="O2566" i="43"/>
  <c r="O2565" i="43"/>
  <c r="O2564" i="43"/>
  <c r="O2563" i="43"/>
  <c r="O2562" i="43"/>
  <c r="O2561" i="43"/>
  <c r="O2560" i="43"/>
  <c r="O2559" i="43"/>
  <c r="O2558" i="43"/>
  <c r="O2557" i="43"/>
  <c r="O2556" i="43"/>
  <c r="O2555" i="43"/>
  <c r="O2554" i="43"/>
  <c r="O2553" i="43"/>
  <c r="O2552" i="43"/>
  <c r="O2551" i="43"/>
  <c r="O2550" i="43"/>
  <c r="O2549" i="43"/>
  <c r="O2548" i="43"/>
  <c r="O2547" i="43"/>
  <c r="O2546" i="43"/>
  <c r="O2545" i="43"/>
  <c r="O2544" i="43"/>
  <c r="O2543" i="43"/>
  <c r="O2542" i="43"/>
  <c r="O2541" i="43"/>
  <c r="O2540" i="43"/>
  <c r="O2539" i="43"/>
  <c r="O2538" i="43"/>
  <c r="O2537" i="43"/>
  <c r="O2536" i="43"/>
  <c r="O2535" i="43"/>
  <c r="O2534" i="43"/>
  <c r="O2533" i="43"/>
  <c r="O2532" i="43"/>
  <c r="O2531" i="43"/>
  <c r="O2530" i="43"/>
  <c r="O2529" i="43"/>
  <c r="O2528" i="43"/>
  <c r="O2527" i="43"/>
  <c r="O2526" i="43"/>
  <c r="O2525" i="43"/>
  <c r="O2524" i="43"/>
  <c r="O2523" i="43"/>
  <c r="O2522" i="43"/>
  <c r="O2521" i="43"/>
  <c r="O2520" i="43"/>
  <c r="O2519" i="43"/>
  <c r="O2518" i="43"/>
  <c r="O2517" i="43"/>
  <c r="O2516" i="43"/>
  <c r="O2515" i="43"/>
  <c r="O2514" i="43"/>
  <c r="O2513" i="43"/>
  <c r="O2512" i="43"/>
  <c r="O2511" i="43"/>
  <c r="O2510" i="43"/>
  <c r="O2509" i="43"/>
  <c r="O2508" i="43"/>
  <c r="O2507" i="43"/>
  <c r="O2506" i="43"/>
  <c r="O2505" i="43"/>
  <c r="O2504" i="43"/>
  <c r="O2503" i="43"/>
  <c r="O2502" i="43"/>
  <c r="O2501" i="43"/>
  <c r="O2500" i="43"/>
  <c r="O2499" i="43"/>
  <c r="O2498" i="43"/>
  <c r="O2497" i="43"/>
  <c r="O2496" i="43"/>
  <c r="O2495" i="43"/>
  <c r="O2494" i="43"/>
  <c r="O2493" i="43"/>
  <c r="O2492" i="43"/>
  <c r="O2491" i="43"/>
  <c r="O2490" i="43"/>
  <c r="O2489" i="43"/>
  <c r="O2488" i="43"/>
  <c r="O2487" i="43"/>
  <c r="O2486" i="43"/>
  <c r="O2485" i="43"/>
  <c r="O2484" i="43"/>
  <c r="O2483" i="43"/>
  <c r="O2482" i="43"/>
  <c r="O2481" i="43"/>
  <c r="O2480" i="43"/>
  <c r="O2479" i="43"/>
  <c r="O2478" i="43"/>
  <c r="O2477" i="43"/>
  <c r="O2476" i="43"/>
  <c r="O2475" i="43"/>
  <c r="O2474" i="43"/>
  <c r="O2473" i="43"/>
  <c r="O2472" i="43"/>
  <c r="O2471" i="43"/>
  <c r="O2470" i="43"/>
  <c r="O2469" i="43"/>
  <c r="O2468" i="43"/>
  <c r="O2467" i="43"/>
  <c r="O2466" i="43"/>
  <c r="O2465" i="43"/>
  <c r="O2464" i="43"/>
  <c r="O2463" i="43"/>
  <c r="O2462" i="43"/>
  <c r="O2461" i="43"/>
  <c r="O2460" i="43"/>
  <c r="O2459" i="43"/>
  <c r="O2458" i="43"/>
  <c r="O2457" i="43"/>
  <c r="O2456" i="43"/>
  <c r="O2455" i="43"/>
  <c r="O2454" i="43"/>
  <c r="O2453" i="43"/>
  <c r="O2452" i="43"/>
  <c r="O2451" i="43"/>
  <c r="O2450" i="43"/>
  <c r="O2449" i="43"/>
  <c r="O2448" i="43"/>
  <c r="O2447" i="43"/>
  <c r="O2446" i="43"/>
  <c r="O2445" i="43"/>
  <c r="O2444" i="43"/>
  <c r="O2443" i="43"/>
  <c r="O2442" i="43"/>
  <c r="O2441" i="43"/>
  <c r="O2440" i="43"/>
  <c r="O2439" i="43"/>
  <c r="O2438" i="43"/>
  <c r="O2437" i="43"/>
  <c r="O2436" i="43"/>
  <c r="O2435" i="43"/>
  <c r="O2434" i="43"/>
  <c r="O2433" i="43"/>
  <c r="O2432" i="43"/>
  <c r="O2431" i="43"/>
  <c r="O2430" i="43"/>
  <c r="O2429" i="43"/>
  <c r="O2428" i="43"/>
  <c r="O2427" i="43"/>
  <c r="O2426" i="43"/>
  <c r="O2425" i="43"/>
  <c r="O2424" i="43"/>
  <c r="O2423" i="43"/>
  <c r="O2422" i="43"/>
  <c r="O2421" i="43"/>
  <c r="O2420" i="43"/>
  <c r="O2419" i="43"/>
  <c r="O2418" i="43"/>
  <c r="O2417" i="43"/>
  <c r="O2416" i="43"/>
  <c r="O2415" i="43"/>
  <c r="O2414" i="43"/>
  <c r="O2413" i="43"/>
  <c r="O2412" i="43"/>
  <c r="O2411" i="43"/>
  <c r="O2410" i="43"/>
  <c r="O2409" i="43"/>
  <c r="O2408" i="43"/>
  <c r="O2407" i="43"/>
  <c r="O2406" i="43"/>
  <c r="O2405" i="43"/>
  <c r="O2404" i="43"/>
  <c r="O2403" i="43"/>
  <c r="O2402" i="43"/>
  <c r="O2401" i="43"/>
  <c r="O2400" i="43"/>
  <c r="O2399" i="43"/>
  <c r="O2398" i="43"/>
  <c r="O2397" i="43"/>
  <c r="O2396" i="43"/>
  <c r="O2395" i="43"/>
  <c r="O2394" i="43"/>
  <c r="O2393" i="43"/>
  <c r="O2392" i="43"/>
  <c r="O2391" i="43"/>
  <c r="O2390" i="43"/>
  <c r="O2389" i="43"/>
  <c r="O2388" i="43"/>
  <c r="O2387" i="43"/>
  <c r="O2386" i="43"/>
  <c r="O2385" i="43"/>
  <c r="O2384" i="43"/>
  <c r="O2383" i="43"/>
  <c r="O2382" i="43"/>
  <c r="O2381" i="43"/>
  <c r="O2380" i="43"/>
  <c r="O2379" i="43"/>
  <c r="O2378" i="43"/>
  <c r="O2377" i="43"/>
  <c r="O2376" i="43"/>
  <c r="O2375" i="43"/>
  <c r="O2374" i="43"/>
  <c r="O2373" i="43"/>
  <c r="O2372" i="43"/>
  <c r="O2371" i="43"/>
  <c r="O2370" i="43"/>
  <c r="O2369" i="43"/>
  <c r="O2368" i="43"/>
  <c r="O2367" i="43"/>
  <c r="O2366" i="43"/>
  <c r="O2365" i="43"/>
  <c r="O2364" i="43"/>
  <c r="O2363" i="43"/>
  <c r="O2362" i="43"/>
  <c r="O2361" i="43"/>
  <c r="O2360" i="43"/>
  <c r="O2359" i="43"/>
  <c r="O2358" i="43"/>
  <c r="O2357" i="43"/>
  <c r="O2356" i="43"/>
  <c r="O2355" i="43"/>
  <c r="O2354" i="43"/>
  <c r="O2353" i="43"/>
  <c r="O2352" i="43"/>
  <c r="O2351" i="43"/>
  <c r="O2350" i="43"/>
  <c r="O2349" i="43"/>
  <c r="O2348" i="43"/>
  <c r="O2347" i="43"/>
  <c r="O2346" i="43"/>
  <c r="O2345" i="43"/>
  <c r="O2344" i="43"/>
  <c r="O2343" i="43"/>
  <c r="O2342" i="43"/>
  <c r="O2341" i="43"/>
  <c r="O2340" i="43"/>
  <c r="O2339" i="43"/>
  <c r="O2338" i="43"/>
  <c r="O2337" i="43"/>
  <c r="O2336" i="43"/>
  <c r="O2335" i="43"/>
  <c r="O2334" i="43"/>
  <c r="O2333" i="43"/>
  <c r="O2332" i="43"/>
  <c r="O2331" i="43"/>
  <c r="O2330" i="43"/>
  <c r="O2329" i="43"/>
  <c r="O2328" i="43"/>
  <c r="O2327" i="43"/>
  <c r="O2326" i="43"/>
  <c r="O2325" i="43"/>
  <c r="O2324" i="43"/>
  <c r="O2323" i="43"/>
  <c r="O2322" i="43"/>
  <c r="O2321" i="43"/>
  <c r="O2320" i="43"/>
  <c r="O2319" i="43"/>
  <c r="O2318" i="43"/>
  <c r="O2317" i="43"/>
  <c r="O2316" i="43"/>
  <c r="O2315" i="43"/>
  <c r="O2314" i="43"/>
  <c r="O2313" i="43"/>
  <c r="O2312" i="43"/>
  <c r="O2311" i="43"/>
  <c r="O2310" i="43"/>
  <c r="O2309" i="43"/>
  <c r="O2308" i="43"/>
  <c r="O2307" i="43"/>
  <c r="O2306" i="43"/>
  <c r="O2305" i="43"/>
  <c r="O2304" i="43"/>
  <c r="O2303" i="43"/>
  <c r="O2302" i="43"/>
  <c r="O2301" i="43"/>
  <c r="O2300" i="43"/>
  <c r="O2299" i="43"/>
  <c r="O2298" i="43"/>
  <c r="O2297" i="43"/>
  <c r="O2296" i="43"/>
  <c r="O2295" i="43"/>
  <c r="O2294" i="43"/>
  <c r="O2293" i="43"/>
  <c r="O2292" i="43"/>
  <c r="O2291" i="43"/>
  <c r="O2290" i="43"/>
  <c r="O2289" i="43"/>
  <c r="O2288" i="43"/>
  <c r="O2287" i="43"/>
  <c r="O2286" i="43"/>
  <c r="O2285" i="43"/>
  <c r="O2284" i="43"/>
  <c r="O2283" i="43"/>
  <c r="O2282" i="43"/>
  <c r="O2281" i="43"/>
  <c r="O2280" i="43"/>
  <c r="O2279" i="43"/>
  <c r="O2278" i="43"/>
  <c r="O2277" i="43"/>
  <c r="O2276" i="43"/>
  <c r="O2275" i="43"/>
  <c r="O2274" i="43"/>
  <c r="O2273" i="43"/>
  <c r="O2272" i="43"/>
  <c r="O2271" i="43"/>
  <c r="O2270" i="43"/>
  <c r="O2269" i="43"/>
  <c r="O2268" i="43"/>
  <c r="O2267" i="43"/>
  <c r="O2266" i="43"/>
  <c r="O2265" i="43"/>
  <c r="O2264" i="43"/>
  <c r="O2263" i="43"/>
  <c r="O2262" i="43"/>
  <c r="O2261" i="43"/>
  <c r="O2260" i="43"/>
  <c r="O2259" i="43"/>
  <c r="O2258" i="43"/>
  <c r="O2257" i="43"/>
  <c r="O2256" i="43"/>
  <c r="O2255" i="43"/>
  <c r="O2254" i="43"/>
  <c r="O2253" i="43"/>
  <c r="O2252" i="43"/>
  <c r="O2251" i="43"/>
  <c r="O2250" i="43"/>
  <c r="O2249" i="43"/>
  <c r="O2248" i="43"/>
  <c r="O2247" i="43"/>
  <c r="O2246" i="43"/>
  <c r="O2245" i="43"/>
  <c r="O2244" i="43"/>
  <c r="O2243" i="43"/>
  <c r="O2242" i="43"/>
  <c r="O2241" i="43"/>
  <c r="O2240" i="43"/>
  <c r="O2239" i="43"/>
  <c r="O2238" i="43"/>
  <c r="O2237" i="43"/>
  <c r="O2236" i="43"/>
  <c r="O2235" i="43"/>
  <c r="O2234" i="43"/>
  <c r="O2233" i="43"/>
  <c r="O2232" i="43"/>
  <c r="O2231" i="43"/>
  <c r="O2230" i="43"/>
  <c r="O2229" i="43"/>
  <c r="O2228" i="43"/>
  <c r="O2227" i="43"/>
  <c r="O2226" i="43"/>
  <c r="O2225" i="43"/>
  <c r="O2224" i="43"/>
  <c r="O2223" i="43"/>
  <c r="O2222" i="43"/>
  <c r="O2221" i="43"/>
  <c r="O2220" i="43"/>
  <c r="O2219" i="43"/>
  <c r="O2218" i="43"/>
  <c r="O2217" i="43"/>
  <c r="O2216" i="43"/>
  <c r="O2215" i="43"/>
  <c r="O2214" i="43"/>
  <c r="O2213" i="43"/>
  <c r="O2212" i="43"/>
  <c r="O2211" i="43"/>
  <c r="O2210" i="43"/>
  <c r="O2209" i="43"/>
  <c r="O2208" i="43"/>
  <c r="O2207" i="43"/>
  <c r="O2206" i="43"/>
  <c r="O2205" i="43"/>
  <c r="O2204" i="43"/>
  <c r="O2203" i="43"/>
  <c r="O2202" i="43"/>
  <c r="O2201" i="43"/>
  <c r="O2200" i="43"/>
  <c r="O2199" i="43"/>
  <c r="O2198" i="43"/>
  <c r="O2197" i="43"/>
  <c r="O2196" i="43"/>
  <c r="O2195" i="43"/>
  <c r="O2194" i="43"/>
  <c r="O2193" i="43"/>
  <c r="O2192" i="43"/>
  <c r="O2191" i="43"/>
  <c r="O2190" i="43"/>
  <c r="O2189" i="43"/>
  <c r="O2188" i="43"/>
  <c r="O2187" i="43"/>
  <c r="O2186" i="43"/>
  <c r="O2185" i="43"/>
  <c r="O2184" i="43"/>
  <c r="O2183" i="43"/>
  <c r="O2182" i="43"/>
  <c r="O2181" i="43"/>
  <c r="O2180" i="43"/>
  <c r="O2179" i="43"/>
  <c r="O2178" i="43"/>
  <c r="O2177" i="43"/>
  <c r="O2176" i="43"/>
  <c r="O2175" i="43"/>
  <c r="O2174" i="43"/>
  <c r="O2173" i="43"/>
  <c r="O2172" i="43"/>
  <c r="O2171" i="43"/>
  <c r="O2170" i="43"/>
  <c r="O2169" i="43"/>
  <c r="O2168" i="43"/>
  <c r="O2167" i="43"/>
  <c r="O2166" i="43"/>
  <c r="O2165" i="43"/>
  <c r="O2164" i="43"/>
  <c r="O2163" i="43"/>
  <c r="O2162" i="43"/>
  <c r="O2161" i="43"/>
  <c r="O2160" i="43"/>
  <c r="O2159" i="43"/>
  <c r="O2158" i="43"/>
  <c r="O2157" i="43"/>
  <c r="O2156" i="43"/>
  <c r="O2155" i="43"/>
  <c r="O2154" i="43"/>
  <c r="O2153" i="43"/>
  <c r="O2152" i="43"/>
  <c r="O2151" i="43"/>
  <c r="O2150" i="43"/>
  <c r="O2149" i="43"/>
  <c r="O2148" i="43"/>
  <c r="O2147" i="43"/>
  <c r="O2146" i="43"/>
  <c r="O2145" i="43"/>
  <c r="O2144" i="43"/>
  <c r="O2143" i="43"/>
  <c r="O2142" i="43"/>
  <c r="O2141" i="43"/>
  <c r="O2140" i="43"/>
  <c r="O2139" i="43"/>
  <c r="O2138" i="43"/>
  <c r="O2137" i="43"/>
  <c r="O2136" i="43"/>
  <c r="O2135" i="43"/>
  <c r="O2134" i="43"/>
  <c r="O2133" i="43"/>
  <c r="O2132" i="43"/>
  <c r="O2131" i="43"/>
  <c r="O2130" i="43"/>
  <c r="O2129" i="43"/>
  <c r="O2128" i="43"/>
  <c r="O2127" i="43"/>
  <c r="O2126" i="43"/>
  <c r="O2125" i="43"/>
  <c r="O2124" i="43"/>
  <c r="O2123" i="43"/>
  <c r="O2122" i="43"/>
  <c r="O2121" i="43"/>
  <c r="O2120" i="43"/>
  <c r="O2119" i="43"/>
  <c r="O2118" i="43"/>
  <c r="O2117" i="43"/>
  <c r="O2116" i="43"/>
  <c r="O2115" i="43"/>
  <c r="O2114" i="43"/>
  <c r="O2113" i="43"/>
  <c r="O2112" i="43"/>
  <c r="O2111" i="43"/>
  <c r="O2110" i="43"/>
  <c r="O2109" i="43"/>
  <c r="O2108" i="43"/>
  <c r="O2107" i="43"/>
  <c r="O2106" i="43"/>
  <c r="O2105" i="43"/>
  <c r="O2104" i="43"/>
  <c r="O2103" i="43"/>
  <c r="O2102" i="43"/>
  <c r="O2101" i="43"/>
  <c r="O2100" i="43"/>
  <c r="O2099" i="43"/>
  <c r="O2098" i="43"/>
  <c r="O2097" i="43"/>
  <c r="O2096" i="43"/>
  <c r="O2095" i="43"/>
  <c r="O2094" i="43"/>
  <c r="O2093" i="43"/>
  <c r="O2092" i="43"/>
  <c r="O2091" i="43"/>
  <c r="O2090" i="43"/>
  <c r="O2089" i="43"/>
  <c r="O2088" i="43"/>
  <c r="O2087" i="43"/>
  <c r="O2086" i="43"/>
  <c r="O2085" i="43"/>
  <c r="O2084" i="43"/>
  <c r="O2083" i="43"/>
  <c r="O2082" i="43"/>
  <c r="O2081" i="43"/>
  <c r="O2080" i="43"/>
  <c r="O2079" i="43"/>
  <c r="O2078" i="43"/>
  <c r="O2077" i="43"/>
  <c r="O2076" i="43"/>
  <c r="O2075" i="43"/>
  <c r="O2074" i="43"/>
  <c r="O2073" i="43"/>
  <c r="O2072" i="43"/>
  <c r="O2071" i="43"/>
  <c r="O2070" i="43"/>
  <c r="O2069" i="43"/>
  <c r="O2068" i="43"/>
  <c r="O2067" i="43"/>
  <c r="O2066" i="43"/>
  <c r="O2065" i="43"/>
  <c r="O2064" i="43"/>
  <c r="O2063" i="43"/>
  <c r="O2062" i="43"/>
  <c r="O2061" i="43"/>
  <c r="O2060" i="43"/>
  <c r="O2059" i="43"/>
  <c r="O2058" i="43"/>
  <c r="O2057" i="43"/>
  <c r="O2056" i="43"/>
  <c r="O2055" i="43"/>
  <c r="O2054" i="43"/>
  <c r="O2053" i="43"/>
  <c r="O2052" i="43"/>
  <c r="O2051" i="43"/>
  <c r="O2050" i="43"/>
  <c r="O2049" i="43"/>
  <c r="O2048" i="43"/>
  <c r="O2047" i="43"/>
  <c r="O2046" i="43"/>
  <c r="O2045" i="43"/>
  <c r="O2044" i="43"/>
  <c r="O2043" i="43"/>
  <c r="O2042" i="43"/>
  <c r="O2041" i="43"/>
  <c r="O2040" i="43"/>
  <c r="O2039" i="43"/>
  <c r="O2038" i="43"/>
  <c r="O2037" i="43"/>
  <c r="O2036" i="43"/>
  <c r="O2035" i="43"/>
  <c r="O2034" i="43"/>
  <c r="O2033" i="43"/>
  <c r="O2032" i="43"/>
  <c r="O2031" i="43"/>
  <c r="O2030" i="43"/>
  <c r="O2029" i="43"/>
  <c r="O2028" i="43"/>
  <c r="O2027" i="43"/>
  <c r="O2026" i="43"/>
  <c r="O2025" i="43"/>
  <c r="O2024" i="43"/>
  <c r="O2023" i="43"/>
  <c r="O2022" i="43"/>
  <c r="O2021" i="43"/>
  <c r="O2020" i="43"/>
  <c r="O2019" i="43"/>
  <c r="O2018" i="43"/>
  <c r="O2017" i="43"/>
  <c r="O2016" i="43"/>
  <c r="O2015" i="43"/>
  <c r="O2014" i="43"/>
  <c r="O2013" i="43"/>
  <c r="O2012" i="43"/>
  <c r="O2011" i="43"/>
  <c r="O2010" i="43"/>
  <c r="O2009" i="43"/>
  <c r="O2008" i="43"/>
  <c r="O2007" i="43"/>
  <c r="O2006" i="43"/>
  <c r="O2005" i="43"/>
  <c r="O2004" i="43"/>
  <c r="O2003" i="43"/>
  <c r="O2002" i="43"/>
  <c r="O2001" i="43"/>
  <c r="O2000" i="43"/>
  <c r="O1999" i="43"/>
  <c r="O1998" i="43"/>
  <c r="O1997" i="43"/>
  <c r="O1996" i="43"/>
  <c r="O1995" i="43"/>
  <c r="O1994" i="43"/>
  <c r="O1993" i="43"/>
  <c r="O1992" i="43"/>
  <c r="O1991" i="43"/>
  <c r="O1990" i="43"/>
  <c r="O1989" i="43"/>
  <c r="O1988" i="43"/>
  <c r="O1987" i="43"/>
  <c r="O1986" i="43"/>
  <c r="O1985" i="43"/>
  <c r="O1984" i="43"/>
  <c r="O1983" i="43"/>
  <c r="O1982" i="43"/>
  <c r="O1981" i="43"/>
  <c r="O1980" i="43"/>
  <c r="O1979" i="43"/>
  <c r="O1978" i="43"/>
  <c r="O1977" i="43"/>
  <c r="O1976" i="43"/>
  <c r="O1975" i="43"/>
  <c r="O1974" i="43"/>
  <c r="O1973" i="43"/>
  <c r="O1972" i="43"/>
  <c r="O1971" i="43"/>
  <c r="O1970" i="43"/>
  <c r="O1969" i="43"/>
  <c r="O1968" i="43"/>
  <c r="O1967" i="43"/>
  <c r="O1966" i="43"/>
  <c r="O1965" i="43"/>
  <c r="O1964" i="43"/>
  <c r="O1963" i="43"/>
  <c r="O1962" i="43"/>
  <c r="O1961" i="43"/>
  <c r="O1960" i="43"/>
  <c r="O1959" i="43"/>
  <c r="O1958" i="43"/>
  <c r="O1957" i="43"/>
  <c r="O1956" i="43"/>
  <c r="O1955" i="43"/>
  <c r="O1954" i="43"/>
  <c r="O1953" i="43"/>
  <c r="O1952" i="43"/>
  <c r="O1951" i="43"/>
  <c r="O1950" i="43"/>
  <c r="O1949" i="43"/>
  <c r="O1948" i="43"/>
  <c r="O1947" i="43"/>
  <c r="O1946" i="43"/>
  <c r="O1945" i="43"/>
  <c r="O1944" i="43"/>
  <c r="O1943" i="43"/>
  <c r="O1942" i="43"/>
  <c r="O1941" i="43"/>
  <c r="O1940" i="43"/>
  <c r="O1939" i="43"/>
  <c r="O1938" i="43"/>
  <c r="O1937" i="43"/>
  <c r="O1936" i="43"/>
  <c r="O1935" i="43"/>
  <c r="O1934" i="43"/>
  <c r="O1933" i="43"/>
  <c r="O1932" i="43"/>
  <c r="O1931" i="43"/>
  <c r="O1930" i="43"/>
  <c r="O1929" i="43"/>
  <c r="O1928" i="43"/>
  <c r="O1927" i="43"/>
  <c r="O1926" i="43"/>
  <c r="O1925" i="43"/>
  <c r="O1924" i="43"/>
  <c r="O1923" i="43"/>
  <c r="O1922" i="43"/>
  <c r="O1921" i="43"/>
  <c r="O1920" i="43"/>
  <c r="O1919" i="43"/>
  <c r="O1918" i="43"/>
  <c r="O1917" i="43"/>
  <c r="O1916" i="43"/>
  <c r="O1915" i="43"/>
  <c r="O1914" i="43"/>
  <c r="O1913" i="43"/>
  <c r="O1912" i="43"/>
  <c r="O1911" i="43"/>
  <c r="O1910" i="43"/>
  <c r="O1909" i="43"/>
  <c r="O1908" i="43"/>
  <c r="O1907" i="43"/>
  <c r="O1906" i="43"/>
  <c r="O1905" i="43"/>
  <c r="O1904" i="43"/>
  <c r="O1903" i="43"/>
  <c r="O1902" i="43"/>
  <c r="O1901" i="43"/>
  <c r="O1900" i="43"/>
  <c r="O1899" i="43"/>
  <c r="O1898" i="43"/>
  <c r="O1897" i="43"/>
  <c r="O1896" i="43"/>
  <c r="O1895" i="43"/>
  <c r="O1894" i="43"/>
  <c r="O1893" i="43"/>
  <c r="O1892" i="43"/>
  <c r="O1891" i="43"/>
  <c r="O1890" i="43"/>
  <c r="O1889" i="43"/>
  <c r="O1888" i="43"/>
  <c r="O1887" i="43"/>
  <c r="O1886" i="43"/>
  <c r="O1885" i="43"/>
  <c r="O1884" i="43"/>
  <c r="O1883" i="43"/>
  <c r="O1882" i="43"/>
  <c r="O1881" i="43"/>
  <c r="O1880" i="43"/>
  <c r="O1879" i="43"/>
  <c r="O1878" i="43"/>
  <c r="O1877" i="43"/>
  <c r="O1876" i="43"/>
  <c r="O1875" i="43"/>
  <c r="O1874" i="43"/>
  <c r="O1873" i="43"/>
  <c r="O1872" i="43"/>
  <c r="O1871" i="43"/>
  <c r="O1870" i="43"/>
  <c r="O1869" i="43"/>
  <c r="O1868" i="43"/>
  <c r="O1867" i="43"/>
  <c r="O1866" i="43"/>
  <c r="O1865" i="43"/>
  <c r="O1864" i="43"/>
  <c r="O1863" i="43"/>
  <c r="O1862" i="43"/>
  <c r="O1861" i="43"/>
  <c r="O1860" i="43"/>
  <c r="O1859" i="43"/>
  <c r="O1858" i="43"/>
  <c r="O1857" i="43"/>
  <c r="O1856" i="43"/>
  <c r="O1855" i="43"/>
  <c r="O1854" i="43"/>
  <c r="O1853" i="43"/>
  <c r="O1852" i="43"/>
  <c r="O1851" i="43"/>
  <c r="O1850" i="43"/>
  <c r="O1849" i="43"/>
  <c r="O1848" i="43"/>
  <c r="O1847" i="43"/>
  <c r="O1846" i="43"/>
  <c r="O1845" i="43"/>
  <c r="O1844" i="43"/>
  <c r="O1843" i="43"/>
  <c r="O1842" i="43"/>
  <c r="O1841" i="43"/>
  <c r="O1840" i="43"/>
  <c r="O1839" i="43"/>
  <c r="O1838" i="43"/>
  <c r="O1837" i="43"/>
  <c r="O1836" i="43"/>
  <c r="O1835" i="43"/>
  <c r="O1834" i="43"/>
  <c r="O1833" i="43"/>
  <c r="O1832" i="43"/>
  <c r="O1831" i="43"/>
  <c r="O1830" i="43"/>
  <c r="O1829" i="43"/>
  <c r="O1828" i="43"/>
  <c r="O1827" i="43"/>
  <c r="O1826" i="43"/>
  <c r="O1825" i="43"/>
  <c r="O1824" i="43"/>
  <c r="O1823" i="43"/>
  <c r="O1822" i="43"/>
  <c r="O1821" i="43"/>
  <c r="O1820" i="43"/>
  <c r="O1819" i="43"/>
  <c r="O1818" i="43"/>
  <c r="O1817" i="43"/>
  <c r="O1816" i="43"/>
  <c r="O1815" i="43"/>
  <c r="O1814" i="43"/>
  <c r="O1813" i="43"/>
  <c r="O1812" i="43"/>
  <c r="O1811" i="43"/>
  <c r="O1810" i="43"/>
  <c r="O1809" i="43"/>
  <c r="O1808" i="43"/>
  <c r="O1807" i="43"/>
  <c r="O1806" i="43"/>
  <c r="O1805" i="43"/>
  <c r="O1804" i="43"/>
  <c r="O1803" i="43"/>
  <c r="O1802" i="43"/>
  <c r="O1801" i="43"/>
  <c r="O1800" i="43"/>
  <c r="O1799" i="43"/>
  <c r="O1798" i="43"/>
  <c r="O1797" i="43"/>
  <c r="O1796" i="43"/>
  <c r="O1795" i="43"/>
  <c r="O1794" i="43"/>
  <c r="O1793" i="43"/>
  <c r="O1792" i="43"/>
  <c r="O1791" i="43"/>
  <c r="O1790" i="43"/>
  <c r="O1789" i="43"/>
  <c r="O1788" i="43"/>
  <c r="O1787" i="43"/>
  <c r="O1786" i="43"/>
  <c r="O1785" i="43"/>
  <c r="O1784" i="43"/>
  <c r="O1783" i="43"/>
  <c r="O1782" i="43"/>
  <c r="O1781" i="43"/>
  <c r="O1780" i="43"/>
  <c r="O1779" i="43"/>
  <c r="O1778" i="43"/>
  <c r="O1777" i="43"/>
  <c r="O1776" i="43"/>
  <c r="O1775" i="43"/>
  <c r="O1774" i="43"/>
  <c r="O1773" i="43"/>
  <c r="O1772" i="43"/>
  <c r="O1771" i="43"/>
  <c r="O1770" i="43"/>
  <c r="O1769" i="43"/>
  <c r="O1768" i="43"/>
  <c r="O1767" i="43"/>
  <c r="O1766" i="43"/>
  <c r="O1765" i="43"/>
  <c r="O1764" i="43"/>
  <c r="O1763" i="43"/>
  <c r="O1762" i="43"/>
  <c r="O1761" i="43"/>
  <c r="O1760" i="43"/>
  <c r="O1759" i="43"/>
  <c r="O1758" i="43"/>
  <c r="O1757" i="43"/>
  <c r="O1756" i="43"/>
  <c r="O1755" i="43"/>
  <c r="O1754" i="43"/>
  <c r="O1753" i="43"/>
  <c r="O1752" i="43"/>
  <c r="O1751" i="43"/>
  <c r="O1750" i="43"/>
  <c r="O1749" i="43"/>
  <c r="O1748" i="43"/>
  <c r="O1747" i="43"/>
  <c r="O1746" i="43"/>
  <c r="O1745" i="43"/>
  <c r="O1744" i="43"/>
  <c r="O1743" i="43"/>
  <c r="O1742" i="43"/>
  <c r="O1741" i="43"/>
  <c r="O1740" i="43"/>
  <c r="O1739" i="43"/>
  <c r="O1738" i="43"/>
  <c r="O1737" i="43"/>
  <c r="O1736" i="43"/>
  <c r="O1735" i="43"/>
  <c r="O1734" i="43"/>
  <c r="O1733" i="43"/>
  <c r="O1732" i="43"/>
  <c r="O1731" i="43"/>
  <c r="O1730" i="43"/>
  <c r="O1729" i="43"/>
  <c r="O1728" i="43"/>
  <c r="O1727" i="43"/>
  <c r="O1726" i="43"/>
  <c r="O1725" i="43"/>
  <c r="O1724" i="43"/>
  <c r="O1723" i="43"/>
  <c r="O1722" i="43"/>
  <c r="O1721" i="43"/>
  <c r="O1720" i="43"/>
  <c r="O1719" i="43"/>
  <c r="O1718" i="43"/>
  <c r="O1717" i="43"/>
  <c r="O1716" i="43"/>
  <c r="O1715" i="43"/>
  <c r="O1714" i="43"/>
  <c r="O1713" i="43"/>
  <c r="O1712" i="43"/>
  <c r="O1711" i="43"/>
  <c r="O1710" i="43"/>
  <c r="O1709" i="43"/>
  <c r="O1708" i="43"/>
  <c r="O1707" i="43"/>
  <c r="O1706" i="43"/>
  <c r="O1705" i="43"/>
  <c r="O1704" i="43"/>
  <c r="O1703" i="43"/>
  <c r="O1702" i="43"/>
  <c r="O1701" i="43"/>
  <c r="O1700" i="43"/>
  <c r="O1699" i="43"/>
  <c r="O1698" i="43"/>
  <c r="O1697" i="43"/>
  <c r="O1696" i="43"/>
  <c r="O1695" i="43"/>
  <c r="O1694" i="43"/>
  <c r="O1693" i="43"/>
  <c r="O1692" i="43"/>
  <c r="O1691" i="43"/>
  <c r="O1690" i="43"/>
  <c r="O1689" i="43"/>
  <c r="O1688" i="43"/>
  <c r="O1687" i="43"/>
  <c r="O1686" i="43"/>
  <c r="O1685" i="43"/>
  <c r="O1684" i="43"/>
  <c r="O1683" i="43"/>
  <c r="O1682" i="43"/>
  <c r="O1681" i="43"/>
  <c r="O1680" i="43"/>
  <c r="O1679" i="43"/>
  <c r="O1678" i="43"/>
  <c r="O1677" i="43"/>
  <c r="O1676" i="43"/>
  <c r="O1675" i="43"/>
  <c r="O1674" i="43"/>
  <c r="O1673" i="43"/>
  <c r="O1672" i="43"/>
  <c r="O1671" i="43"/>
  <c r="O1670" i="43"/>
  <c r="O1669" i="43"/>
  <c r="O1668" i="43"/>
  <c r="O1667" i="43"/>
  <c r="O1666" i="43"/>
  <c r="O1665" i="43"/>
  <c r="O1664" i="43"/>
  <c r="O1663" i="43"/>
  <c r="O1662" i="43"/>
  <c r="O1661" i="43"/>
  <c r="O1660" i="43"/>
  <c r="O1659" i="43"/>
  <c r="O1658" i="43"/>
  <c r="O1657" i="43"/>
  <c r="O1656" i="43"/>
  <c r="O1655" i="43"/>
  <c r="O1654" i="43"/>
  <c r="O1653" i="43"/>
  <c r="O1652" i="43"/>
  <c r="O1651" i="43"/>
  <c r="O1650" i="43"/>
  <c r="O1649" i="43"/>
  <c r="O1648" i="43"/>
  <c r="O1647" i="43"/>
  <c r="O1646" i="43"/>
  <c r="O1645" i="43"/>
  <c r="O1644" i="43"/>
  <c r="O1643" i="43"/>
  <c r="O1642" i="43"/>
  <c r="O1641" i="43"/>
  <c r="O1640" i="43"/>
  <c r="O1639" i="43"/>
  <c r="O1638" i="43"/>
  <c r="O1637" i="43"/>
  <c r="O1636" i="43"/>
  <c r="O1635" i="43"/>
  <c r="O1634" i="43"/>
  <c r="O1633" i="43"/>
  <c r="O1632" i="43"/>
  <c r="O1631" i="43"/>
  <c r="O1630" i="43"/>
  <c r="O1629" i="43"/>
  <c r="O1628" i="43"/>
  <c r="O1627" i="43"/>
  <c r="O1626" i="43"/>
  <c r="O1625" i="43"/>
  <c r="O1624" i="43"/>
  <c r="O1623" i="43"/>
  <c r="O1622" i="43"/>
  <c r="O1621" i="43"/>
  <c r="O1620" i="43"/>
  <c r="O1619" i="43"/>
  <c r="O1618" i="43"/>
  <c r="O1617" i="43"/>
  <c r="O1616" i="43"/>
  <c r="O1615" i="43"/>
  <c r="O1614" i="43"/>
  <c r="O1613" i="43"/>
  <c r="O1612" i="43"/>
  <c r="O1611" i="43"/>
  <c r="O1610" i="43"/>
  <c r="O1609" i="43"/>
  <c r="O1608" i="43"/>
  <c r="O1607" i="43"/>
  <c r="O1606" i="43"/>
  <c r="O1605" i="43"/>
  <c r="O1604" i="43"/>
  <c r="O1603" i="43"/>
  <c r="O1602" i="43"/>
  <c r="O1601" i="43"/>
  <c r="O1600" i="43"/>
  <c r="O1599" i="43"/>
  <c r="O1598" i="43"/>
  <c r="O1597" i="43"/>
  <c r="O1596" i="43"/>
  <c r="O1595" i="43"/>
  <c r="O1594" i="43"/>
  <c r="O1593" i="43"/>
  <c r="O1592" i="43"/>
  <c r="O1591" i="43"/>
  <c r="O1590" i="43"/>
  <c r="O1589" i="43"/>
  <c r="O1588" i="43"/>
  <c r="O1587" i="43"/>
  <c r="O1586" i="43"/>
  <c r="O1585" i="43"/>
  <c r="O1584" i="43"/>
  <c r="O1583" i="43"/>
  <c r="O1582" i="43"/>
  <c r="O1581" i="43"/>
  <c r="O1580" i="43"/>
  <c r="O1579" i="43"/>
  <c r="O1578" i="43"/>
  <c r="O1577" i="43"/>
  <c r="O1576" i="43"/>
  <c r="O1575" i="43"/>
  <c r="O1574" i="43"/>
  <c r="O1573" i="43"/>
  <c r="O1572" i="43"/>
  <c r="O1571" i="43"/>
  <c r="O1570" i="43"/>
  <c r="O1569" i="43"/>
  <c r="O1568" i="43"/>
  <c r="O1567" i="43"/>
  <c r="O1566" i="43"/>
  <c r="O1565" i="43"/>
  <c r="O1564" i="43"/>
  <c r="O1563" i="43"/>
  <c r="O1562" i="43"/>
  <c r="O1561" i="43"/>
  <c r="O1560" i="43"/>
  <c r="O1559" i="43"/>
  <c r="O1558" i="43"/>
  <c r="O1557" i="43"/>
  <c r="O1556" i="43"/>
  <c r="O1555" i="43"/>
  <c r="O1554" i="43"/>
  <c r="O1553" i="43"/>
  <c r="O1552" i="43"/>
  <c r="O1551" i="43"/>
  <c r="O1550" i="43"/>
  <c r="O1549" i="43"/>
  <c r="O1548" i="43"/>
  <c r="O1547" i="43"/>
  <c r="O1546" i="43"/>
  <c r="O1545" i="43"/>
  <c r="O1544" i="43"/>
  <c r="O1543" i="43"/>
  <c r="O1542" i="43"/>
  <c r="O1541" i="43"/>
  <c r="O1540" i="43"/>
  <c r="O1539" i="43"/>
  <c r="O1538" i="43"/>
  <c r="O1537" i="43"/>
  <c r="O1536" i="43"/>
  <c r="O1535" i="43"/>
  <c r="O1534" i="43"/>
  <c r="O1533" i="43"/>
  <c r="O1532" i="43"/>
  <c r="O1531" i="43"/>
  <c r="O1530" i="43"/>
  <c r="O1529" i="43"/>
  <c r="O1528" i="43"/>
  <c r="O1527" i="43"/>
  <c r="O1526" i="43"/>
  <c r="O1525" i="43"/>
  <c r="O1524" i="43"/>
  <c r="O1523" i="43"/>
  <c r="O1522" i="43"/>
  <c r="O1521" i="43"/>
  <c r="O1520" i="43"/>
  <c r="O1519" i="43"/>
  <c r="O1518" i="43"/>
  <c r="O1517" i="43"/>
  <c r="O1516" i="43"/>
  <c r="O1515" i="43"/>
  <c r="O1514" i="43"/>
  <c r="O1513" i="43"/>
  <c r="O1512" i="43"/>
  <c r="O1511" i="43"/>
  <c r="O1510" i="43"/>
  <c r="O1509" i="43"/>
  <c r="O1508" i="43"/>
  <c r="O1507" i="43"/>
  <c r="O1506" i="43"/>
  <c r="O1505" i="43"/>
  <c r="O1504" i="43"/>
  <c r="O1503" i="43"/>
  <c r="O1502" i="43"/>
  <c r="O1501" i="43"/>
  <c r="O1500" i="43"/>
  <c r="O1499" i="43"/>
  <c r="O1498" i="43"/>
  <c r="O1497" i="43"/>
  <c r="O1496" i="43"/>
  <c r="O1495" i="43"/>
  <c r="O1494" i="43"/>
  <c r="O1493" i="43"/>
  <c r="O1492" i="43"/>
  <c r="O1491" i="43"/>
  <c r="O1490" i="43"/>
  <c r="O1489" i="43"/>
  <c r="O1488" i="43"/>
  <c r="O1487" i="43"/>
  <c r="O1486" i="43"/>
  <c r="O1485" i="43"/>
  <c r="O1484" i="43"/>
  <c r="O1483" i="43"/>
  <c r="O1482" i="43"/>
  <c r="O1481" i="43"/>
  <c r="O1480" i="43"/>
  <c r="O1479" i="43"/>
  <c r="O1478" i="43"/>
  <c r="O1477" i="43"/>
  <c r="O1476" i="43"/>
  <c r="O1475" i="43"/>
  <c r="O1474" i="43"/>
  <c r="O1473" i="43"/>
  <c r="O1472" i="43"/>
  <c r="O1471" i="43"/>
  <c r="O1470" i="43"/>
  <c r="O1469" i="43"/>
  <c r="O1468" i="43"/>
  <c r="O1467" i="43"/>
  <c r="O1466" i="43"/>
  <c r="O1465" i="43"/>
  <c r="O1464" i="43"/>
  <c r="O1463" i="43"/>
  <c r="O1462" i="43"/>
  <c r="O1461" i="43"/>
  <c r="O1460" i="43"/>
  <c r="O1459" i="43"/>
  <c r="O1458" i="43"/>
  <c r="O1457" i="43"/>
  <c r="O1456" i="43"/>
  <c r="O1455" i="43"/>
  <c r="O1454" i="43"/>
  <c r="O1453" i="43"/>
  <c r="O1452" i="43"/>
  <c r="O1451" i="43"/>
  <c r="O1450" i="43"/>
  <c r="O1449" i="43"/>
  <c r="O1448" i="43"/>
  <c r="O1447" i="43"/>
  <c r="O1446" i="43"/>
  <c r="O1445" i="43"/>
  <c r="O1444" i="43"/>
  <c r="O1443" i="43"/>
  <c r="O1442" i="43"/>
  <c r="O1441" i="43"/>
  <c r="O1440" i="43"/>
  <c r="O1439" i="43"/>
  <c r="O1438" i="43"/>
  <c r="O1437" i="43"/>
  <c r="O1436" i="43"/>
  <c r="O1435" i="43"/>
  <c r="O1434" i="43"/>
  <c r="O1433" i="43"/>
  <c r="O1432" i="43"/>
  <c r="O1431" i="43"/>
  <c r="O1430" i="43"/>
  <c r="O1429" i="43"/>
  <c r="O1428" i="43"/>
  <c r="O1427" i="43"/>
  <c r="O1426" i="43"/>
  <c r="O1425" i="43"/>
  <c r="O1424" i="43"/>
  <c r="O1423" i="43"/>
  <c r="O1422" i="43"/>
  <c r="O1421" i="43"/>
  <c r="O1420" i="43"/>
  <c r="O1419" i="43"/>
  <c r="O1418" i="43"/>
  <c r="O1417" i="43"/>
  <c r="O1416" i="43"/>
  <c r="O1415" i="43"/>
  <c r="O1414" i="43"/>
  <c r="O1413" i="43"/>
  <c r="O1412" i="43"/>
  <c r="O1411" i="43"/>
  <c r="O1410" i="43"/>
  <c r="O1409" i="43"/>
  <c r="O1408" i="43"/>
  <c r="O1407" i="43"/>
  <c r="O1406" i="43"/>
  <c r="O1405" i="43"/>
  <c r="O1404" i="43"/>
  <c r="O1403" i="43"/>
  <c r="O1402" i="43"/>
  <c r="O1401" i="43"/>
  <c r="O1400" i="43"/>
  <c r="O1399" i="43"/>
  <c r="O1398" i="43"/>
  <c r="O1397" i="43"/>
  <c r="O1396" i="43"/>
  <c r="O1395" i="43"/>
  <c r="O1394" i="43"/>
  <c r="O1393" i="43"/>
  <c r="O1392" i="43"/>
  <c r="O1391" i="43"/>
  <c r="O1390" i="43"/>
  <c r="O1389" i="43"/>
  <c r="O1388" i="43"/>
  <c r="O1387" i="43"/>
  <c r="O1386" i="43"/>
  <c r="O1385" i="43"/>
  <c r="O1384" i="43"/>
  <c r="O1383" i="43"/>
  <c r="O1382" i="43"/>
  <c r="O1381" i="43"/>
  <c r="O1380" i="43"/>
  <c r="O1379" i="43"/>
  <c r="O1378" i="43"/>
  <c r="O1377" i="43"/>
  <c r="O1376" i="43"/>
  <c r="O1375" i="43"/>
  <c r="O1374" i="43"/>
  <c r="O1373" i="43"/>
  <c r="O1372" i="43"/>
  <c r="O1371" i="43"/>
  <c r="O1370" i="43"/>
  <c r="O1369" i="43"/>
  <c r="O1368" i="43"/>
  <c r="O1367" i="43"/>
  <c r="O1366" i="43"/>
  <c r="O1365" i="43"/>
  <c r="O1364" i="43"/>
  <c r="O1363" i="43"/>
  <c r="O1362" i="43"/>
  <c r="O1361" i="43"/>
  <c r="O1360" i="43"/>
  <c r="O1359" i="43"/>
  <c r="O1358" i="43"/>
  <c r="O1357" i="43"/>
  <c r="O1356" i="43"/>
  <c r="O1355" i="43"/>
  <c r="O1354" i="43"/>
  <c r="O1353" i="43"/>
  <c r="O1352" i="43"/>
  <c r="O1351" i="43"/>
  <c r="O1350" i="43"/>
  <c r="O1349" i="43"/>
  <c r="O1348" i="43"/>
  <c r="O1347" i="43"/>
  <c r="O1346" i="43"/>
  <c r="O1345" i="43"/>
  <c r="O1344" i="43"/>
  <c r="O1343" i="43"/>
  <c r="O1342" i="43"/>
  <c r="O1341" i="43"/>
  <c r="O1340" i="43"/>
  <c r="O1339" i="43"/>
  <c r="O1338" i="43"/>
  <c r="O1337" i="43"/>
  <c r="O1336" i="43"/>
  <c r="O1335" i="43"/>
  <c r="O1334" i="43"/>
  <c r="O1333" i="43"/>
  <c r="O1332" i="43"/>
  <c r="O1331" i="43"/>
  <c r="O1330" i="43"/>
  <c r="O1329" i="43"/>
  <c r="O1328" i="43"/>
  <c r="O1327" i="43"/>
  <c r="O1326" i="43"/>
  <c r="O1325" i="43"/>
  <c r="O1324" i="43"/>
  <c r="O1323" i="43"/>
  <c r="O1322" i="43"/>
  <c r="O1321" i="43"/>
  <c r="O1320" i="43"/>
  <c r="O1319" i="43"/>
  <c r="O1318" i="43"/>
  <c r="O1317" i="43"/>
  <c r="O1316" i="43"/>
  <c r="O1315" i="43"/>
  <c r="O1314" i="43"/>
  <c r="O1313" i="43"/>
  <c r="O1312" i="43"/>
  <c r="O1311" i="43"/>
  <c r="O1310" i="43"/>
  <c r="O1309" i="43"/>
  <c r="O1308" i="43"/>
  <c r="O1307" i="43"/>
  <c r="O1306" i="43"/>
  <c r="O1305" i="43"/>
  <c r="O1304" i="43"/>
  <c r="O1303" i="43"/>
  <c r="O1302" i="43"/>
  <c r="O1301" i="43"/>
  <c r="O1300" i="43"/>
  <c r="O1299" i="43"/>
  <c r="O1298" i="43"/>
  <c r="O1297" i="43"/>
  <c r="O1296" i="43"/>
  <c r="O1295" i="43"/>
  <c r="O1294" i="43"/>
  <c r="O1293" i="43"/>
  <c r="O1292" i="43"/>
  <c r="O1291" i="43"/>
  <c r="O1290" i="43"/>
  <c r="O1289" i="43"/>
  <c r="O1288" i="43"/>
  <c r="O1287" i="43"/>
  <c r="O1286" i="43"/>
  <c r="O1285" i="43"/>
  <c r="O1284" i="43"/>
  <c r="O1283" i="43"/>
  <c r="O1282" i="43"/>
  <c r="O1281" i="43"/>
  <c r="O1280" i="43"/>
  <c r="O1279" i="43"/>
  <c r="O1278" i="43"/>
  <c r="O1277" i="43"/>
  <c r="O1276" i="43"/>
  <c r="O1275" i="43"/>
  <c r="O1274" i="43"/>
  <c r="O1273" i="43"/>
  <c r="O1272" i="43"/>
  <c r="O1271" i="43"/>
  <c r="O1270" i="43"/>
  <c r="O1269" i="43"/>
  <c r="O1268" i="43"/>
  <c r="O1267" i="43"/>
  <c r="O1266" i="43"/>
  <c r="O1265" i="43"/>
  <c r="O1264" i="43"/>
  <c r="O1263" i="43"/>
  <c r="O1262" i="43"/>
  <c r="O1261" i="43"/>
  <c r="O1260" i="43"/>
  <c r="O1259" i="43"/>
  <c r="O1258" i="43"/>
  <c r="O1257" i="43"/>
  <c r="O1256" i="43"/>
  <c r="O1255" i="43"/>
  <c r="O1254" i="43"/>
  <c r="O1253" i="43"/>
  <c r="O1252" i="43"/>
  <c r="O1251" i="43"/>
  <c r="O1250" i="43"/>
  <c r="O1249" i="43"/>
  <c r="O1248" i="43"/>
  <c r="O1247" i="43"/>
  <c r="O1246" i="43"/>
  <c r="O1245" i="43"/>
  <c r="O1244" i="43"/>
  <c r="O1243" i="43"/>
  <c r="O1242" i="43"/>
  <c r="O1241" i="43"/>
  <c r="O1240" i="43"/>
  <c r="O1239" i="43"/>
  <c r="O1238" i="43"/>
  <c r="O1237" i="43"/>
  <c r="O1236" i="43"/>
  <c r="O1235" i="43"/>
  <c r="O1234" i="43"/>
  <c r="O1233" i="43"/>
  <c r="O1232" i="43"/>
  <c r="O1231" i="43"/>
  <c r="O1230" i="43"/>
  <c r="O1229" i="43"/>
  <c r="O1228" i="43"/>
  <c r="O1227" i="43"/>
  <c r="O1226" i="43"/>
  <c r="O1225" i="43"/>
  <c r="O1224" i="43"/>
  <c r="O1223" i="43"/>
  <c r="O1222" i="43"/>
  <c r="O1221" i="43"/>
  <c r="O1220" i="43"/>
  <c r="O1219" i="43"/>
  <c r="O1218" i="43"/>
  <c r="O1217" i="43"/>
  <c r="O1216" i="43"/>
  <c r="O1215" i="43"/>
  <c r="O1214" i="43"/>
  <c r="O1213" i="43"/>
  <c r="O1212" i="43"/>
  <c r="O1211" i="43"/>
  <c r="O1210" i="43"/>
  <c r="O1209" i="43"/>
  <c r="O1208" i="43"/>
  <c r="O1207" i="43"/>
  <c r="O1206" i="43"/>
  <c r="O1205" i="43"/>
  <c r="O1204" i="43"/>
  <c r="O1203" i="43"/>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s="1"/>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AK29" i="8" s="1"/>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<sst xmlns="http://schemas.openxmlformats.org/spreadsheetml/2006/main" count="36229" uniqueCount="2512">
  <si>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</si>
  <si>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</si>
  <si>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</si>
  <si>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</si>
  <si>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</si>
  <si>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</si>
  <si>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</si>
  <si>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</si>
  <si>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</si>
  <si>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</si>
  <si>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</si>
  <si>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</si>
  <si>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</si>
  <si>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</si>
  <si>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</si>
  <si>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</si>
  <si>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</si>
  <si>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</si>
  <si>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</si>
  <si>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</si>
  <si>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</si>
  <si>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</si>
  <si>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</si>
  <si>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</si>
  <si>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</si>
  <si>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</si>
  <si>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</si>
  <si>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</si>
  <si>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</si>
  <si>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</si>
  <si>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</si>
  <si>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</si>
  <si>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</si>
  <si>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</si>
  <si>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</si>
  <si>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</si>
  <si>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</si>
  <si>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</si>
  <si>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</si>
  <si>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</si>
  <si>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</si>
  <si>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</si>
  <si>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</si>
  <si>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</si>
  <si>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</si>
  <si>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</si>
  <si>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</si>
  <si>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</si>
  <si>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</si>
  <si>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</si>
  <si>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</si>
  <si>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</si>
  <si>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</si>
  <si>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</si>
  <si>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</si>
  <si>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</si>
  <si>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</si>
  <si>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</si>
  <si>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</si>
  <si>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</si>
  <si>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</si>
  <si>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</si>
  <si>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</si>
  <si>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</si>
  <si>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</si>
  <si>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</si>
  <si>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</si>
  <si>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</si>
  <si>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</si>
  <si>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</si>
  <si>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</si>
  <si>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</si>
  <si>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</si>
  <si>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</si>
  <si>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</si>
  <si>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</si>
  <si>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</si>
  <si>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</si>
  <si>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</si>
  <si>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</si>
  <si>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</si>
  <si>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</si>
  <si>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</si>
  <si>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</si>
  <si>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</si>
  <si>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</si>
  <si>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</si>
  <si>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</si>
  <si>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</si>
  <si>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</si>
  <si>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</si>
  <si>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</si>
  <si>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</si>
  <si>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</si>
  <si>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</si>
  <si>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</si>
  <si>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</si>
  <si>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</si>
  <si>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</si>
  <si>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</si>
  <si>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</si>
  <si>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</si>
  <si>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</si>
  <si>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</si>
  <si>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</si>
  <si>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</si>
  <si>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</si>
  <si>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</si>
  <si>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</si>
  <si>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</si>
  <si>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</si>
  <si>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</si>
  <si>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</si>
  <si>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</si>
  <si>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</si>
  <si>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</si>
  <si>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</si>
  <si>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</si>
  <si>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</si>
  <si>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</si>
  <si>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</si>
  <si>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</si>
  <si>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</si>
  <si>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</si>
  <si>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</si>
  <si>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</si>
  <si>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</si>
  <si>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</si>
  <si>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</si>
  <si>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</si>
  <si>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</si>
  <si>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</si>
  <si>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</si>
  <si>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</si>
  <si>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</si>
  <si>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</si>
  <si>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</si>
  <si>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</si>
  <si>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</si>
  <si>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</si>
  <si>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</si>
  <si>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</si>
  <si>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</si>
  <si>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</si>
  <si>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</si>
  <si>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</si>
  <si>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</si>
  <si>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</si>
  <si>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</si>
  <si>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</si>
  <si>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</si>
  <si>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</si>
  <si>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</si>
  <si>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</si>
  <si>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</si>
  <si>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</si>
  <si>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</si>
  <si>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</si>
  <si>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</si>
  <si>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</si>
  <si>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</si>
  <si>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</si>
  <si>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</si>
  <si>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</si>
  <si>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</si>
  <si>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</si>
  <si>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</si>
  <si>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</si>
  <si>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</si>
  <si>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</si>
  <si>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</si>
  <si>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</si>
  <si>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</si>
  <si>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</si>
  <si>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</si>
  <si>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</si>
  <si>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</si>
  <si>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</si>
  <si>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</si>
  <si>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</si>
  <si>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</si>
  <si>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</si>
  <si>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</si>
  <si>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</si>
  <si>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</si>
  <si>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</si>
  <si>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</si>
  <si>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</si>
  <si>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</si>
  <si>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</si>
  <si>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</si>
  <si>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</si>
  <si>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</si>
  <si>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</si>
  <si>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</si>
  <si>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</si>
  <si>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</si>
  <si>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</si>
  <si>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</si>
  <si>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</si>
  <si>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</si>
  <si>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</si>
  <si>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</si>
  <si>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</si>
  <si>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</si>
  <si>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</si>
  <si>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</si>
  <si>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</si>
  <si>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</si>
  <si>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</si>
  <si>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</si>
  <si>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</si>
  <si>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</si>
  <si>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</si>
  <si>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</si>
  <si>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</si>
  <si>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</si>
  <si>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</si>
  <si>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</si>
  <si>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</si>
  <si>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</si>
  <si>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</si>
  <si>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</si>
  <si>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</si>
  <si>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</si>
  <si>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</si>
  <si>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</si>
  <si>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</si>
  <si>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</si>
  <si>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</si>
  <si>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</si>
  <si>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</si>
  <si>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</si>
  <si>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</si>
  <si>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</si>
  <si>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</si>
  <si>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</si>
  <si>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</si>
  <si>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</si>
  <si>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</si>
  <si>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</si>
  <si>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</si>
  <si>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</si>
  <si>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</si>
  <si>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</si>
  <si>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</si>
  <si>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</si>
  <si>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</si>
  <si>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</si>
  <si>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</si>
  <si>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</si>
  <si>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</si>
  <si>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</si>
  <si>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</si>
  <si>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</si>
  <si>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</si>
  <si>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</si>
  <si>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</si>
  <si>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</si>
  <si>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</si>
  <si>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</si>
  <si>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</si>
  <si>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</si>
  <si>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</si>
  <si>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</si>
  <si>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</si>
  <si>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</si>
  <si>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</si>
  <si>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</si>
  <si>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</si>
  <si>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</si>
  <si>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</si>
  <si>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</si>
  <si>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</si>
  <si>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</si>
  <si>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</si>
  <si>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</si>
  <si>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</si>
  <si>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</si>
  <si>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</si>
  <si>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</si>
  <si>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</si>
  <si>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</si>
  <si>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</si>
  <si>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</si>
  <si>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</si>
  <si>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</si>
  <si>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</si>
  <si>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</si>
  <si>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</si>
  <si>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</si>
  <si>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</si>
  <si>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</si>
  <si>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</si>
  <si>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</si>
  <si>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</si>
  <si>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</si>
  <si>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</si>
  <si>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</si>
  <si>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</si>
  <si>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</si>
  <si>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</si>
  <si>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</si>
  <si>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</si>
  <si>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</si>
  <si>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</si>
  <si>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</si>
  <si>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</si>
  <si>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</si>
  <si>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</si>
  <si>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</si>
  <si>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</si>
  <si>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</si>
  <si>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</si>
  <si>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</si>
  <si>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</si>
  <si>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</si>
  <si>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</si>
  <si>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</si>
  <si>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</si>
  <si>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</si>
  <si>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</si>
  <si>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</si>
  <si>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</si>
  <si>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</si>
  <si>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</si>
  <si>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</si>
  <si>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</si>
  <si>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</si>
  <si>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</si>
  <si>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</si>
  <si>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</si>
  <si>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</si>
  <si>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</si>
  <si>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</si>
  <si>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</si>
  <si>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</si>
  <si>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</si>
  <si>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</si>
  <si>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</si>
  <si>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</si>
  <si>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</si>
  <si>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</si>
  <si>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</si>
  <si>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</si>
  <si>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</si>
  <si>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</si>
  <si>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</si>
  <si>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</si>
  <si>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</si>
  <si>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</si>
  <si>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</si>
  <si>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</si>
  <si>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</si>
  <si>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</si>
  <si>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</si>
  <si>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</si>
  <si>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</si>
  <si>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</si>
  <si>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</si>
  <si>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</si>
  <si>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</si>
  <si>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</si>
  <si>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</si>
  <si>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</si>
  <si>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</si>
  <si>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</si>
  <si>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</si>
  <si>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</si>
  <si>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</si>
  <si>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</si>
  <si>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</si>
  <si>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</si>
  <si>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</si>
  <si>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</si>
  <si>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</si>
  <si>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</si>
  <si>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</si>
  <si>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</si>
  <si>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</si>
  <si>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</si>
  <si>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</si>
  <si>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</si>
  <si>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</si>
  <si>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</si>
  <si>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</si>
  <si>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</si>
  <si>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</si>
  <si>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</si>
  <si>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</si>
  <si>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</si>
  <si>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</si>
  <si>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</si>
  <si>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</si>
  <si>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</si>
  <si>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</si>
  <si>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</si>
  <si>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</si>
  <si>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</si>
  <si>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</si>
  <si>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</si>
  <si>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</si>
  <si>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</si>
  <si>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</si>
  <si>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</si>
  <si>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</si>
  <si>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</si>
  <si>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</si>
  <si>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</si>
  <si>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</si>
  <si>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</si>
  <si>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</si>
  <si>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</si>
  <si>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</si>
  <si>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</si>
  <si>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</si>
  <si>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</si>
  <si>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</si>
  <si>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</si>
  <si>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</si>
  <si>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</si>
  <si>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</si>
  <si>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</si>
  <si>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</si>
  <si>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</si>
  <si>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</si>
  <si>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</si>
  <si>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</si>
  <si>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</si>
  <si>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</si>
  <si>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</si>
  <si>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</si>
  <si>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</si>
  <si>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</si>
  <si>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</si>
  <si>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</si>
  <si>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</si>
  <si>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</si>
  <si>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</si>
  <si>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</si>
  <si>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</si>
  <si>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</si>
  <si>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</si>
  <si>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</si>
  <si>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</si>
  <si>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</si>
  <si>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</si>
  <si>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</si>
  <si>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</si>
  <si>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</si>
  <si>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</si>
  <si>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</si>
  <si>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</si>
  <si>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</si>
  <si>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</si>
  <si>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</si>
  <si>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</si>
  <si>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</si>
  <si>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</si>
  <si>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</si>
  <si>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</si>
  <si>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</si>
  <si>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</si>
  <si>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</si>
  <si>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</si>
  <si>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</si>
  <si>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</si>
  <si>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</si>
  <si>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</si>
  <si>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</si>
  <si>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</si>
  <si>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</si>
  <si>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</si>
  <si>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</si>
  <si>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</si>
  <si>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</si>
  <si>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</si>
  <si>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</si>
  <si>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</si>
  <si>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</si>
  <si>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</si>
  <si>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</si>
  <si>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</si>
  <si>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</si>
  <si>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</si>
  <si>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</si>
  <si>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</si>
  <si>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</si>
  <si>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</si>
  <si>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</si>
  <si>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</si>
  <si>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</si>
  <si>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</si>
  <si>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</si>
  <si>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</si>
  <si>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</si>
  <si>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</si>
  <si>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</si>
  <si>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</si>
  <si>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</si>
  <si>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</si>
  <si>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</si>
  <si>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</si>
  <si>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</si>
  <si>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</si>
  <si>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</si>
  <si>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</si>
  <si>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</si>
  <si>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</si>
  <si>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</si>
  <si>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</si>
  <si>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</si>
  <si>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</si>
  <si>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</si>
  <si>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</si>
  <si>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</si>
  <si>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</si>
  <si>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</si>
  <si>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</si>
  <si>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</si>
  <si>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</si>
  <si>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</si>
  <si>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</si>
  <si>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</si>
  <si>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</si>
  <si>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</si>
  <si>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</si>
  <si>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</si>
  <si>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</si>
  <si>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</si>
  <si>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</si>
  <si>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</si>
  <si>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</si>
  <si>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</si>
  <si>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</si>
  <si>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</si>
  <si>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</si>
  <si>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</si>
  <si>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</si>
  <si>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</si>
  <si>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</si>
  <si>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</si>
  <si>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</si>
  <si>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</si>
  <si>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</si>
  <si>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</si>
  <si>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</si>
  <si>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</si>
  <si>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</si>
  <si>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</si>
  <si>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</si>
  <si>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</si>
  <si>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</si>
  <si>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</si>
  <si>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</si>
  <si>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</si>
  <si>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</si>
  <si>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</si>
  <si>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</si>
  <si>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</si>
  <si>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</si>
  <si>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</si>
  <si>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</si>
  <si>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</si>
  <si>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</si>
  <si>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</si>
  <si>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</si>
  <si>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</si>
  <si>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</si>
  <si>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</si>
  <si>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</si>
  <si>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</si>
  <si>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</si>
  <si>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</si>
  <si>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</si>
  <si>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</si>
  <si>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</si>
  <si>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</si>
  <si>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</si>
  <si>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</si>
  <si>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</si>
  <si>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</si>
  <si>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</si>
  <si>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</si>
  <si>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</si>
  <si>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</si>
  <si>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</si>
  <si>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</si>
  <si>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</si>
  <si>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</si>
  <si>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</si>
  <si>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</si>
  <si>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</si>
  <si>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</si>
  <si>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</si>
  <si>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</si>
  <si>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</si>
  <si>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</si>
  <si>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</si>
  <si>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</si>
  <si>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</si>
  <si>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</si>
  <si>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</si>
  <si>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</si>
  <si>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</si>
  <si>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</si>
  <si>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</si>
  <si>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</si>
  <si>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</si>
  <si>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</si>
  <si>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</si>
  <si>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</si>
  <si>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</si>
  <si>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</si>
  <si>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</si>
  <si>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</si>
  <si>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</si>
  <si>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</si>
  <si>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</si>
  <si>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</si>
  <si>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</si>
  <si>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</si>
  <si>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</si>
  <si>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</si>
  <si>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</si>
  <si>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</si>
  <si>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</si>
  <si>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</si>
  <si>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</si>
  <si>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</si>
  <si>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</si>
  <si>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</si>
  <si>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</si>
  <si>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</si>
  <si>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</si>
  <si>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</si>
  <si>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</si>
  <si>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</si>
  <si>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</si>
  <si>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</si>
  <si>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</si>
  <si>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</si>
  <si>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</si>
  <si>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</si>
  <si>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</si>
  <si>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</si>
  <si>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</si>
  <si>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</si>
  <si>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</si>
  <si>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</si>
  <si>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</si>
  <si>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</si>
  <si>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</si>
  <si>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</si>
  <si>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</si>
  <si>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</si>
  <si>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</si>
  <si>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</si>
  <si>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</si>
  <si>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</si>
  <si>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</si>
  <si>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</si>
  <si>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</si>
  <si>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</si>
  <si>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</si>
  <si>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</si>
  <si>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</si>
  <si>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</si>
  <si>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</si>
  <si>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</si>
  <si>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</si>
  <si>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</si>
  <si>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</si>
  <si>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</si>
  <si>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</si>
  <si>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</si>
  <si>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</si>
  <si>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</si>
  <si>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</si>
  <si>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</si>
  <si>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</si>
  <si>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</si>
  <si>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</si>
  <si>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</si>
  <si>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</si>
  <si>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</si>
  <si>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</si>
  <si>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</si>
  <si>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</si>
  <si>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</si>
  <si>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</si>
  <si>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</si>
  <si>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</si>
  <si>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</si>
  <si>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</si>
  <si>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</si>
  <si>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</si>
  <si>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</si>
  <si>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</si>
  <si>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</si>
  <si>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</si>
  <si>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</si>
  <si>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</si>
  <si>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</si>
  <si>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</si>
  <si>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</si>
  <si>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</si>
  <si>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</si>
  <si>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</si>
  <si>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</si>
  <si>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</si>
  <si>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</si>
  <si>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</si>
  <si>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</si>
  <si>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</si>
  <si>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</si>
  <si>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</si>
  <si>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</si>
  <si>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</si>
  <si>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</si>
  <si>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</si>
  <si>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</si>
  <si>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</si>
  <si>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</si>
  <si>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</si>
  <si>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</si>
  <si>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</si>
  <si>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</si>
  <si>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</si>
  <si>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</si>
  <si>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</si>
  <si>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</si>
  <si>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</si>
  <si>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</si>
  <si>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</si>
  <si>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</si>
  <si>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</si>
  <si>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</si>
  <si>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</si>
  <si>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</si>
  <si>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</si>
  <si>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</si>
  <si>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</si>
  <si>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</si>
  <si>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</si>
  <si>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</si>
  <si>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</si>
  <si>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</si>
  <si>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</si>
  <si>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</si>
  <si>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</si>
  <si>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</si>
  <si>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</si>
  <si>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</si>
  <si>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</si>
  <si>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</si>
  <si>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</si>
  <si>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</si>
  <si>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</si>
  <si>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</si>
  <si>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</si>
  <si>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</si>
  <si>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</si>
  <si>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</si>
  <si>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</si>
  <si>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</si>
  <si>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</si>
  <si>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</si>
  <si>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</si>
  <si>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</si>
  <si>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</si>
  <si>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</si>
  <si>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</si>
  <si>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</si>
  <si>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</si>
  <si>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</si>
  <si>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</si>
  <si>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</si>
  <si>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</si>
  <si>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</si>
  <si>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</si>
  <si>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</si>
  <si>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</si>
  <si>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</si>
  <si>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</si>
  <si>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</si>
  <si>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</si>
  <si>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</si>
  <si>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</si>
  <si>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</si>
  <si>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</si>
  <si>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</si>
  <si>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</si>
  <si>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</si>
  <si>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</si>
  <si>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</si>
  <si>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</si>
  <si>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</si>
  <si>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</si>
  <si>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</si>
  <si>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</si>
  <si>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</si>
  <si>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</si>
  <si>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</si>
  <si>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</si>
  <si>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</si>
  <si>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</si>
  <si>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</si>
  <si>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</si>
  <si>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</si>
  <si>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</si>
  <si>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</si>
  <si>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</si>
  <si>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</si>
  <si>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</si>
  <si>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</si>
  <si>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</si>
  <si>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</si>
  <si>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</si>
  <si>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</si>
  <si>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</si>
  <si>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</si>
  <si>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</si>
  <si>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</si>
  <si>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</si>
  <si>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</si>
  <si>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</si>
  <si>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</si>
  <si>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</si>
  <si>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</si>
  <si>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</si>
  <si>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</si>
  <si>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</si>
  <si>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</si>
  <si>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</si>
  <si>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</si>
  <si>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</si>
  <si>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</si>
  <si>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</si>
  <si>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</si>
  <si>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</si>
  <si>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</si>
  <si>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</si>
  <si>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</si>
  <si>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</si>
  <si>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</si>
  <si>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</si>
  <si>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</si>
  <si>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</si>
  <si>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</si>
  <si>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</si>
  <si>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</si>
  <si>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</si>
  <si>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</si>
  <si>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</si>
  <si>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</si>
  <si>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</si>
  <si>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</si>
  <si>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</si>
  <si>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</si>
  <si>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</si>
  <si>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</si>
  <si>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</si>
  <si>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</si>
  <si>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</si>
  <si>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</si>
  <si>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</si>
  <si>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</si>
  <si>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</si>
  <si>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</si>
  <si>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</si>
  <si>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</si>
  <si>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</si>
  <si>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</si>
  <si>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</si>
  <si>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</si>
  <si>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</si>
  <si>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</si>
  <si>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</si>
  <si>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</si>
  <si>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</si>
  <si>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</si>
  <si>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</si>
  <si>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</si>
  <si>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</si>
  <si>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</si>
  <si>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</si>
  <si>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</si>
  <si>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</si>
  <si>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</si>
  <si>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</si>
  <si>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</si>
  <si>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</si>
  <si>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</si>
  <si>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</si>
  <si>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</si>
  <si>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</si>
  <si>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</si>
  <si>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</si>
  <si>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</si>
  <si>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</si>
  <si>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</si>
  <si>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</si>
  <si>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</si>
  <si>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</si>
  <si>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</si>
  <si>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</si>
  <si>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</si>
  <si>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</si>
  <si>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</si>
  <si>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</si>
  <si>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</si>
  <si>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</si>
  <si>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</si>
  <si>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</si>
  <si>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</si>
  <si>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</si>
  <si>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</si>
  <si>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</si>
  <si>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</si>
  <si>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</si>
  <si>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</si>
  <si>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</si>
  <si>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</si>
  <si>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</si>
  <si>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</si>
  <si>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</si>
  <si>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</si>
  <si>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</si>
  <si>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</si>
  <si>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</si>
  <si>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</si>
  <si>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</si>
  <si>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</si>
  <si>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</si>
  <si>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</si>
  <si>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</si>
  <si>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</si>
  <si>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</si>
  <si>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</si>
  <si>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</si>
  <si>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</si>
  <si>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</si>
  <si>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</si>
  <si>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</si>
  <si>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</si>
  <si>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</si>
  <si>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</si>
  <si>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</si>
  <si>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</si>
  <si>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</si>
  <si>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</si>
  <si>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</si>
  <si>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</si>
  <si>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</si>
  <si>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</si>
  <si>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</si>
  <si>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</si>
  <si>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</si>
  <si>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</si>
  <si>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</si>
  <si>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</si>
  <si>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</si>
  <si>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</si>
  <si>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</si>
  <si>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</si>
  <si>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</si>
  <si>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</si>
  <si>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</si>
  <si>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</si>
  <si>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</si>
  <si>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</si>
  <si>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</si>
  <si>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</si>
  <si>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</si>
  <si>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</si>
  <si>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</si>
  <si>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</si>
  <si>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</si>
  <si>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</si>
  <si>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</si>
  <si>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</si>
  <si>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</si>
  <si>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</si>
  <si>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</si>
  <si>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</si>
  <si>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</si>
  <si>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</si>
  <si>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</si>
  <si>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</si>
  <si>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</si>
  <si>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</si>
  <si>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</si>
  <si>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</si>
  <si>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</si>
  <si>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</si>
  <si>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</si>
  <si>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</si>
  <si>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</si>
  <si>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</si>
  <si>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</si>
  <si>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</si>
  <si>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</si>
  <si>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</si>
  <si>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</si>
  <si>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</si>
  <si>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</si>
  <si>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</si>
  <si>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</si>
  <si>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</si>
  <si>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</si>
  <si>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</si>
  <si>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</si>
  <si>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</si>
  <si>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</si>
  <si>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</si>
  <si>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</si>
  <si>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</si>
  <si>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</si>
  <si>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</si>
  <si>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</si>
  <si>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</si>
  <si>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</si>
  <si>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</si>
  <si>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</si>
  <si>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</si>
  <si>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</si>
  <si>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</si>
  <si>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</si>
  <si>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</si>
  <si>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</si>
  <si>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</si>
  <si>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</si>
  <si>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</si>
  <si>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</si>
  <si>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</si>
  <si>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</si>
  <si>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</si>
  <si>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</si>
  <si>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</si>
  <si>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</si>
  <si>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</si>
  <si>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</si>
  <si>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</si>
  <si>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</si>
  <si>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</si>
  <si>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</si>
  <si>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</si>
  <si>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</si>
  <si>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</si>
  <si>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</si>
  <si>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</si>
  <si>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</si>
  <si>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</si>
  <si>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</si>
  <si>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</si>
  <si>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</si>
  <si>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</si>
  <si>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</si>
  <si>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</si>
  <si>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</si>
  <si>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</si>
  <si>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</si>
  <si>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</si>
  <si>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</si>
  <si>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</si>
  <si>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</si>
  <si>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</si>
  <si>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</si>
  <si>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</si>
  <si>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</si>
  <si>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</si>
  <si>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</si>
  <si>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</si>
  <si>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</si>
  <si>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</si>
  <si>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</si>
  <si>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</si>
  <si>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</si>
  <si>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</si>
  <si>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</si>
  <si>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</si>
  <si>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</si>
  <si>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</si>
  <si>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</si>
  <si>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</si>
  <si>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</si>
  <si>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</si>
  <si>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</si>
  <si>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</si>
  <si>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</si>
  <si>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</si>
  <si>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</si>
  <si>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</si>
  <si>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</si>
  <si>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</si>
  <si>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</si>
  <si>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</si>
  <si>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</si>
  <si>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</si>
  <si>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</si>
  <si>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</si>
  <si>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</si>
  <si>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</si>
  <si>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</si>
  <si>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</si>
  <si>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</si>
  <si>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</si>
  <si>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</si>
  <si>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</si>
  <si>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</si>
  <si>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</si>
  <si>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</si>
  <si>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</si>
  <si>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</si>
  <si>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</si>
  <si>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</si>
  <si>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</si>
  <si>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</si>
  <si>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</si>
  <si>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</si>
  <si>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</si>
  <si>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</si>
  <si>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</si>
  <si>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</si>
  <si>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</si>
  <si>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</si>
  <si>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</si>
  <si>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</si>
  <si>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</si>
  <si>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</si>
  <si>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</si>
  <si>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</si>
  <si>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</si>
  <si>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</si>
  <si>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</si>
  <si>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</si>
  <si>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</si>
  <si>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</si>
  <si>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</si>
  <si>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</si>
  <si>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</si>
  <si>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</si>
  <si>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</si>
  <si>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</si>
  <si>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</si>
  <si>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</si>
  <si>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</si>
  <si>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</si>
  <si>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</si>
  <si>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</si>
  <si>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</si>
  <si>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</si>
  <si>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</si>
  <si>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</si>
  <si>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</si>
  <si>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</si>
  <si>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</si>
  <si>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</si>
  <si>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</si>
  <si>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</si>
  <si>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</si>
  <si>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</si>
  <si>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</si>
  <si>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</si>
  <si>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</si>
  <si>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</si>
  <si>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</si>
  <si>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</si>
  <si>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</si>
  <si>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</si>
  <si>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</si>
  <si>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</si>
  <si>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</si>
  <si>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</si>
  <si>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</si>
  <si>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</si>
  <si>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</si>
  <si>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</si>
  <si>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</si>
  <si>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</si>
  <si>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</si>
  <si>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</si>
  <si>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</si>
  <si>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</si>
  <si>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</si>
  <si>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</si>
  <si>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</si>
  <si>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</si>
  <si>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</si>
  <si>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</si>
  <si>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</si>
  <si>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</si>
  <si>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</si>
  <si>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</si>
  <si>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</si>
  <si>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</si>
  <si>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</si>
  <si>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</si>
  <si>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</si>
  <si>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</si>
  <si>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</si>
  <si>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</si>
  <si>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</si>
  <si>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</si>
  <si>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</si>
  <si>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</si>
  <si>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</si>
  <si>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</si>
  <si>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</si>
  <si>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</si>
  <si>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</si>
  <si>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</si>
  <si>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</si>
  <si>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</si>
  <si>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</si>
  <si>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</si>
  <si>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</si>
  <si>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</si>
  <si>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</si>
  <si>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</si>
  <si>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</si>
  <si>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</si>
  <si>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</si>
  <si>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</si>
  <si>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</si>
  <si>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</si>
  <si>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</si>
  <si>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</si>
  <si>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</si>
  <si>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</si>
  <si>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</si>
  <si>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</si>
  <si>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</si>
  <si>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</si>
  <si>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</si>
  <si>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</si>
  <si>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</si>
  <si>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</si>
  <si>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</si>
  <si>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</si>
  <si>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</si>
  <si>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</si>
  <si>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</si>
  <si>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</si>
  <si>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</si>
  <si>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</si>
  <si>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</si>
  <si>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</si>
  <si>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</si>
  <si>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</si>
  <si>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</si>
  <si>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</si>
  <si>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</si>
  <si>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</si>
  <si>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</si>
  <si>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</si>
  <si>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</si>
  <si>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</si>
  <si>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</si>
  <si>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</si>
  <si>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</si>
  <si>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</si>
  <si>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</si>
  <si>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</si>
  <si>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</si>
  <si>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</si>
  <si>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</si>
  <si>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</si>
  <si>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</si>
  <si>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</si>
  <si>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</si>
  <si>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</si>
  <si>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</si>
  <si>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</si>
  <si>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</si>
  <si>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</si>
  <si>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</si>
  <si>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</si>
  <si>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</si>
  <si>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</si>
  <si>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</si>
  <si>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</si>
  <si>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</si>
  <si>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</si>
  <si>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</si>
  <si>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</si>
  <si>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</si>
  <si>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</si>
  <si>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</si>
  <si>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</si>
  <si>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</si>
  <si>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</si>
  <si>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</si>
  <si>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</si>
  <si>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</si>
  <si>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</si>
  <si>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</si>
  <si>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</si>
  <si>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</si>
  <si>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</si>
  <si>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</si>
  <si>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</si>
  <si>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</si>
  <si>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</si>
  <si>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</si>
  <si>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</si>
  <si>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</si>
  <si>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</si>
  <si>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</si>
  <si>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</si>
  <si>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</si>
  <si>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</si>
  <si>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</si>
  <si>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</si>
  <si>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</si>
  <si>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</si>
  <si>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</si>
  <si>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</si>
  <si>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</si>
  <si>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</si>
  <si>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</si>
  <si>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</si>
  <si>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</si>
  <si>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</si>
  <si>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</si>
  <si>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</si>
  <si>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</si>
  <si>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</si>
  <si>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</si>
  <si>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</si>
  <si>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</si>
  <si>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</si>
  <si>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</si>
  <si>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</si>
  <si>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</si>
  <si>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</si>
  <si>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</si>
  <si>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</si>
  <si>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</si>
  <si>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</si>
  <si>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</si>
  <si>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</si>
  <si>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</si>
  <si>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</si>
  <si>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</si>
  <si>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</si>
  <si>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</si>
  <si>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</si>
  <si>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</si>
  <si>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</si>
  <si>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</si>
  <si>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</si>
  <si>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</si>
  <si>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</si>
  <si>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</si>
  <si>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</si>
  <si>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</si>
  <si>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</si>
  <si>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</si>
  <si>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</si>
  <si>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</si>
  <si>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</si>
  <si>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</si>
  <si>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</si>
  <si>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</si>
  <si>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</si>
  <si>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</si>
  <si>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</si>
  <si>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</si>
  <si>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</si>
  <si>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</si>
  <si>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</si>
  <si>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</si>
  <si>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</si>
  <si>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</si>
  <si>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</si>
  <si>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</si>
  <si>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</si>
  <si>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</si>
  <si>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</si>
  <si>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</si>
  <si>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</si>
  <si>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</si>
  <si>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</si>
  <si>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</si>
  <si>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</si>
  <si>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</si>
  <si>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</si>
  <si>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</si>
  <si>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</si>
  <si>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</si>
  <si>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</si>
  <si>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</si>
  <si>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</si>
  <si>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</si>
  <si>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</si>
  <si>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</si>
  <si>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</si>
  <si>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</si>
  <si>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</si>
  <si>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</si>
  <si>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</si>
  <si>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</si>
  <si>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</si>
  <si>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</si>
  <si>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</si>
  <si>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</si>
  <si>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</si>
  <si>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</si>
  <si>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</si>
  <si>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</si>
  <si>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</si>
  <si>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</si>
  <si>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</si>
  <si>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</si>
  <si>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</si>
  <si>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</si>
  <si>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</si>
  <si>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</si>
  <si>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</si>
  <si>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</si>
  <si>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</si>
  <si>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</si>
  <si>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</si>
  <si>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</si>
  <si>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</si>
  <si>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</si>
  <si>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</si>
  <si>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</si>
  <si>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</si>
  <si>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</si>
  <si>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</si>
  <si>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</si>
  <si>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</si>
  <si>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</si>
  <si>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</si>
  <si>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</si>
  <si>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</si>
  <si>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</si>
  <si>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</si>
  <si>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</si>
  <si>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</si>
  <si>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</si>
  <si>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</si>
  <si>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</si>
  <si>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</si>
  <si>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</si>
  <si>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</si>
  <si>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</si>
  <si>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</si>
  <si>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</si>
  <si>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</si>
  <si>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</si>
  <si>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</si>
  <si>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</si>
  <si>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</si>
  <si>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</si>
  <si>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</si>
  <si>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</si>
  <si>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</si>
  <si>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</si>
  <si>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</si>
  <si>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</si>
  <si>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</si>
  <si>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</si>
  <si>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</si>
  <si>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</si>
  <si>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</si>
  <si>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</si>
  <si>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</si>
  <si>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</si>
  <si>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</si>
  <si>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</si>
  <si>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</si>
  <si>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</si>
  <si>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</si>
  <si>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</si>
  <si>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</si>
  <si>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</si>
  <si>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</si>
  <si>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</si>
  <si>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</si>
  <si>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</si>
  <si>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</si>
  <si>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</si>
  <si>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</si>
  <si>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</si>
  <si>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</si>
  <si>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</si>
  <si>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</si>
  <si>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</si>
  <si>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</si>
  <si>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</si>
  <si>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</si>
  <si>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</si>
  <si>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</si>
  <si>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</si>
  <si>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</si>
  <si>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</si>
  <si>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</si>
  <si>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</si>
  <si>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</si>
  <si>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</si>
  <si>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</si>
  <si>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</si>
  <si>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</si>
  <si>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</si>
  <si>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</si>
  <si>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</si>
  <si>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</si>
  <si>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</si>
  <si>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</si>
  <si>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</si>
  <si>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</si>
  <si>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</si>
  <si>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</si>
  <si>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</si>
  <si>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</si>
  <si>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</si>
  <si>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</si>
  <si>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</si>
  <si>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</si>
  <si>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</si>
  <si>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</si>
  <si>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</si>
  <si>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</si>
  <si>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</si>
  <si>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</si>
  <si>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</si>
  <si>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</si>
  <si>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</si>
  <si>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</si>
  <si>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</si>
  <si>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</si>
  <si>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</si>
  <si>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</si>
  <si>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</si>
  <si>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</si>
  <si>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</si>
  <si>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</si>
  <si>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</si>
  <si>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</si>
  <si>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</si>
  <si>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</si>
  <si>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</si>
  <si>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</si>
  <si>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</si>
  <si>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</si>
  <si>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</si>
  <si>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</si>
  <si>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</si>
  <si>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</si>
  <si>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</si>
  <si>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</si>
  <si>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</si>
  <si>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</si>
  <si>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</si>
  <si>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</si>
  <si>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</si>
  <si>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</si>
  <si>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</si>
  <si>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</si>
  <si>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</si>
  <si>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</si>
  <si>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</si>
  <si>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</si>
  <si>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</si>
  <si>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</si>
  <si>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</si>
  <si>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</si>
  <si>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</si>
  <si>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</si>
  <si>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</si>
  <si>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</si>
  <si>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</si>
  <si>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</si>
  <si>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</si>
  <si>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</si>
  <si>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</si>
  <si>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</si>
  <si>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</si>
  <si>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</si>
  <si>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</si>
  <si>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</si>
  <si>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</si>
  <si>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</si>
  <si>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</si>
  <si>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</si>
  <si>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</si>
  <si>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</si>
  <si>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</si>
  <si>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</si>
  <si>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</si>
  <si>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</si>
  <si>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</si>
  <si>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</si>
  <si>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</si>
  <si>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</si>
  <si>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</si>
  <si>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</si>
  <si>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</si>
  <si>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</si>
  <si>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</si>
  <si>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</si>
  <si>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</si>
  <si>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</si>
  <si>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</si>
  <si>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</si>
  <si>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</si>
  <si>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</si>
  <si>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</si>
  <si>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</si>
  <si>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</si>
  <si>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</si>
  <si>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</si>
  <si>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</si>
  <si>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</si>
  <si>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</si>
  <si>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</si>
  <si>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</si>
  <si>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</si>
  <si>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</si>
  <si>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</si>
  <si>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</si>
  <si>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</si>
  <si>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</si>
  <si>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</si>
  <si>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</si>
  <si>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</si>
  <si>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</si>
  <si>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</si>
  <si>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</si>
  <si>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</si>
  <si>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</si>
  <si>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</si>
  <si>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</si>
  <si>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</si>
  <si>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</si>
  <si>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</si>
  <si>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</si>
  <si>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</si>
  <si>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</si>
  <si>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</si>
  <si>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</si>
  <si>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</si>
  <si>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</si>
  <si>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</si>
  <si>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</si>
  <si>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</si>
  <si>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</si>
  <si>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</si>
  <si>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</si>
  <si>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</si>
  <si>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</si>
  <si>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</si>
  <si>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</si>
  <si>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</si>
  <si>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</si>
  <si>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</si>
  <si>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</si>
  <si>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</si>
  <si>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</si>
  <si>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</si>
  <si>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</si>
  <si>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</si>
  <si>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</si>
  <si>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</si>
  <si>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</si>
  <si>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</si>
  <si>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</si>
  <si>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</si>
  <si>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</si>
  <si>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</si>
  <si>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</si>
  <si>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</si>
  <si>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</si>
  <si>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</si>
  <si>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</si>
  <si>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</si>
  <si>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</si>
  <si>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</si>
  <si>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</si>
  <si>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</si>
  <si>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</si>
  <si>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</si>
  <si>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</si>
  <si>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</si>
  <si>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</si>
  <si>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</si>
  <si>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</si>
  <si>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</si>
  <si>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</si>
  <si>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</si>
  <si>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</si>
  <si>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</si>
  <si>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</si>
  <si>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</si>
  <si>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</si>
  <si>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</si>
  <si>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</si>
  <si>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</si>
  <si>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</si>
  <si>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</si>
  <si>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</si>
  <si>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</si>
  <si>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</si>
  <si>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</si>
  <si>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</si>
  <si>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</si>
  <si>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</si>
  <si>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</si>
  <si>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</si>
  <si>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</si>
  <si>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</si>
  <si>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</si>
  <si>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</si>
  <si>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</si>
  <si>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</si>
  <si>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</si>
  <si>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</si>
  <si>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</si>
  <si>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</si>
  <si>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</si>
  <si>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</si>
  <si>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</si>
  <si>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</si>
  <si>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</si>
  <si>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</si>
  <si>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</si>
  <si>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</si>
  <si>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</si>
  <si>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</si>
  <si>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</si>
  <si>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</si>
  <si>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</si>
  <si>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</si>
  <si>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</si>
  <si>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</si>
  <si>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</si>
  <si>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</si>
  <si>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</si>
  <si>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</si>
  <si>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</si>
  <si>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</si>
  <si>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</si>
  <si>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</si>
  <si>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</si>
  <si>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</si>
  <si>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</si>
  <si>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</si>
  <si>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</si>
  <si>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</si>
  <si>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</si>
  <si>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</si>
  <si>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</si>
  <si>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</si>
  <si>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</si>
  <si>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</si>
  <si>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</si>
  <si>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</si>
  <si>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</si>
  <si>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</si>
  <si>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</si>
  <si>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</si>
  <si>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</si>
  <si>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</si>
  <si>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</si>
  <si>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</si>
  <si>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</si>
  <si>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</si>
  <si>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</si>
  <si>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</si>
  <si>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</si>
  <si>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</si>
  <si>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</si>
  <si>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</si>
  <si>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</si>
  <si>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</si>
  <si>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</si>
  <si>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</si>
  <si>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</si>
  <si>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</si>
  <si>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</si>
  <si>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</si>
  <si>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</si>
  <si>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</si>
  <si>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</si>
  <si>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</si>
  <si>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</si>
  <si>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</si>
  <si>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</si>
  <si>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</si>
  <si>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DE</t>
  </si>
  <si>
    <t>Q_1_1</t>
  </si>
  <si>
    <t>S01_InstitutionDetails</t>
  </si>
  <si>
    <t>NameAndDepartment</t>
  </si>
  <si>
    <t>text</t>
  </si>
  <si>
    <t>Bundesministerium für Wirtschaft und Klimaschutz</t>
  </si>
  <si>
    <t/>
  </si>
  <si>
    <t>ContactPersonName</t>
  </si>
  <si>
    <t>Hanna Arnold</t>
  </si>
  <si>
    <t>ContactPersonJobTitle</t>
  </si>
  <si>
    <t>Referat AG KB2 "Klimaschutzgesetz, Emissionshandel"</t>
  </si>
  <si>
    <t>Address</t>
  </si>
  <si>
    <t>Scharnhorststr. 34-37, 10115 Berlin</t>
  </si>
  <si>
    <t>InternationalTelephoneNumber</t>
  </si>
  <si>
    <t>49(30)186155087</t>
  </si>
  <si>
    <t>EMail</t>
  </si>
  <si>
    <t>hanna.arnold@bmwk.bund.de</t>
  </si>
  <si>
    <t>ReportingYear</t>
  </si>
  <si>
    <t>integer</t>
  </si>
  <si>
    <t>Q_2_1</t>
  </si>
  <si>
    <t>S02_CompetentAuthority</t>
  </si>
  <si>
    <t>CAName</t>
  </si>
  <si>
    <t>Deutsche Emissionshandelsstelle im Umweltbundesamt</t>
  </si>
  <si>
    <t>Diverse Landes- und zum Teil Kommunalbehörden; nach nationalem Recht liegt die Zuständigkeit für die Emissionsgenehmigung bei den für die immissionsschutzrechtliche Genehmigung zuständigen Behörden, die Länder selbst haben davon teilweise abweichende Zuständigkeitsregelungen getroffen</t>
  </si>
  <si>
    <t>CAAbbreviation</t>
  </si>
  <si>
    <t>DEHSt</t>
  </si>
  <si>
    <t>Landes- / Kommunalbehörden</t>
  </si>
  <si>
    <t>CAType</t>
  </si>
  <si>
    <t>CATelephone</t>
  </si>
  <si>
    <t>+49 (0)30 8903-5050</t>
  </si>
  <si>
    <t>CAEmail</t>
  </si>
  <si>
    <t>www.dehst.de</t>
  </si>
  <si>
    <t>S02_AccreditationBodyYesNo</t>
  </si>
  <si>
    <t>yesno</t>
  </si>
  <si>
    <t>S02_AccreditationBody</t>
  </si>
  <si>
    <t>AccBodyName</t>
  </si>
  <si>
    <t>Deutsche Akkreditierungsstelle GmbH</t>
  </si>
  <si>
    <t>AccBodyAbbreviation</t>
  </si>
  <si>
    <t>DAkkS</t>
  </si>
  <si>
    <t>AccBodyTelephone</t>
  </si>
  <si>
    <t>+49 (0)69 610943-0</t>
  </si>
  <si>
    <t>AccBodyEmail</t>
  </si>
  <si>
    <t>kontakt@dakks.de</t>
  </si>
  <si>
    <t>AccBodyWebsite</t>
  </si>
  <si>
    <t>www.dakks.de</t>
  </si>
  <si>
    <t>CertificationBodySetUp</t>
  </si>
  <si>
    <t>S02_CertificationAuthExistsDetails</t>
  </si>
  <si>
    <t>CertAuthName</t>
  </si>
  <si>
    <t>Deutschen Akkreditierungs- und Zulassungsgesellschaft für Umweltgutachter mbH</t>
  </si>
  <si>
    <t>CertAuthAbbreviation</t>
  </si>
  <si>
    <t>DAU</t>
  </si>
  <si>
    <t>CertAuthTelephone</t>
  </si>
  <si>
    <t>+49 (0)228 280 52-0</t>
  </si>
  <si>
    <t>CertAuthEmail</t>
  </si>
  <si>
    <t>info@dau-bonn.de</t>
  </si>
  <si>
    <t>CertAuthWebsite</t>
  </si>
  <si>
    <t>www.dau-bonn.de</t>
  </si>
  <si>
    <t>S02_RegistryAdministrator</t>
  </si>
  <si>
    <t>RegAdminName</t>
  </si>
  <si>
    <t>RegAdminAbbreviation</t>
  </si>
  <si>
    <t>RegAdminTelephone</t>
  </si>
  <si>
    <t>+49 (0)30 8903-5240</t>
  </si>
  <si>
    <t>RegAdminEmail</t>
  </si>
  <si>
    <t>emissionshandel@dehst.de</t>
  </si>
  <si>
    <t>RegAdminWebsite</t>
  </si>
  <si>
    <t>Q_2_2</t>
  </si>
  <si>
    <t>S02_CompetentAuthorityRoles</t>
  </si>
  <si>
    <t>CAForInstallationTask</t>
  </si>
  <si>
    <t>CAForAviationTask</t>
  </si>
  <si>
    <t>Q_2_3</t>
  </si>
  <si>
    <t>S02_CAFocalPoint</t>
  </si>
  <si>
    <t>CAArt70</t>
  </si>
  <si>
    <t>CAArt70Abbrev</t>
  </si>
  <si>
    <t>S02_CompetentAuthorityCoordination</t>
  </si>
  <si>
    <t>CACoordinationYesNo</t>
  </si>
  <si>
    <t>CACoordinationComment</t>
  </si>
  <si>
    <t>memo</t>
  </si>
  <si>
    <t>Die Überprüfung erfolgt nur von der DEHSt</t>
  </si>
  <si>
    <t>wie zuvor</t>
  </si>
  <si>
    <t>Wie zuvor, ergänzender Informationsaustausch (1-2 mal jährlich) zwischen DEHSt und den Bundesländern</t>
  </si>
  <si>
    <t>aufgrund klarer rechtlicher Zuständigkeitstrennung nicht relevant</t>
  </si>
  <si>
    <t>Wie zuvor.</t>
  </si>
  <si>
    <t>Q_2_4</t>
  </si>
  <si>
    <t>S02_InformationExchangeAccBodyAndCA</t>
  </si>
  <si>
    <t>InfoExchangeYesNo</t>
  </si>
  <si>
    <t>InfoExchangeComment</t>
  </si>
  <si>
    <t>Es finden regelmäßige Treffen unmittelbar zwischen DAkkS und DEHSt statt. Abgesehen von den Treffen findet ein permanenter Informationsaustausch per Telefon und E-Mail statt.</t>
  </si>
  <si>
    <t xml:space="preserve">Die DEHSt wirkt im „Sektorkomitee Emissionshandel“ der DAkkS mit, in dem alle in dieser Frage genannten Stellen vertreten sind. 
Zudem findet zwischen DEHSt, DAkkS und Prüfstellen jährlich eine Veranstaltung zum Informationsaustausch statt. </t>
  </si>
  <si>
    <t xml:space="preserve">Es besteht die Möglichkeit der Hospitation von Mitarbeitern der DEHSt bei Audits. Zwischen DEHSt und DAkkS ist vereinbart, dass Mitarbeitende der DEHSt als unabhängige und weisungsfreie Begutachter unter Verantwortung der DAkkS tätig sein können. </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</si>
  <si>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</si>
  <si>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</si>
  <si>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</si>
  <si>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</si>
  <si>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</si>
  <si>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</si>
  <si>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</si>
  <si>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</si>
  <si>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</si>
  <si>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</si>
  <si>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</si>
  <si>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</si>
  <si>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</si>
  <si>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</si>
  <si>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Q_3_3</t>
  </si>
  <si>
    <t>S03_AircraftAnnex1Activities</t>
  </si>
  <si>
    <t>NumberCommercialOperators</t>
  </si>
  <si>
    <t>NumberNonCommercialOperators</t>
  </si>
  <si>
    <t>NumberTotalOperators</t>
  </si>
  <si>
    <t>Q_4_1</t>
  </si>
  <si>
    <t>S04_IEDProcedureRequirementsIntegratedYes</t>
  </si>
  <si>
    <t>IntegrationYesNo</t>
  </si>
  <si>
    <t>IntegrationComments</t>
  </si>
  <si>
    <t>Die DEHSt nimmt bei Bedarf (z.B. bei Unklarheiten anlässlich einer Änderung des Anlagenumfangs) Rücksprache mit den Genehmigungsbehörden der Länder.</t>
  </si>
  <si>
    <t>Für Anlagen, die vor dem 1. Januar 2013 nach den Vorschriften des Bundes-Immissionsschutzgesetzes genehmigt wurden (Altanlagen) gilt die IED-Genehmigung als Emissionsgenehmigung. Betreiber von Altanlagen können allerdings eine gesonderte Emissionsgenehmigung beantragen (z.B. zur Klarstellung von Anlagenabgrenzung und Anwendungsbereich bzgl. Rechtssicherheit). Neuanlagenbetreiber erhalten mit der IED-Genehmigung eine Emissionsgenehmigung. 
Der Gesetzgeber hat in Deutschland die Zuständigkeit für die Emissionsgenehmigung auf die für die immissionsschutzrechtliche Genehmigung, d.h. IED zuständigen Behörden übertragen. Die Länder selbst haben davon teilweise abweichende Zuständigkeitsregeln getroffen. Die Zuständigkeit für die Genehmigung der Überwachungspläne wurde der DEHSt übertragen. Länder und DEHSt beteiligen sich gegenseitig an den EHS-Genehmigungsverfahren.
Die Kontrolle bzw. Inspektion der Tätigkeiten im Rahmen des EU-EHS wird von der DEHSt durchgeführt, Länderbehörden werden ggf. auf Einladung einbezogen.</t>
  </si>
  <si>
    <t>Q_4_2</t>
  </si>
  <si>
    <t>S04_NationalLawPermitUpdate</t>
  </si>
  <si>
    <t>PermitUpdateNationalLawDetail</t>
  </si>
  <si>
    <t>Die Genehmigung kann (und muss in Gefahrensituationen) entzogen/ausgesetzt werden, wenn Betreiber Auflagen oder Rechtsvorschriften missachten.</t>
  </si>
  <si>
    <t>Grundsätzlich nein, allerdings erlischt die Genehmigung, wenn der Betreiber nicht binnen einer von der Behörde bestimmten Frist mit dem Bau bzw. Betrieb der Anlage beginnt oder wenn die Anlage mehr als drei Jahre nicht betrieben wird.</t>
  </si>
  <si>
    <t>Wenn mit der Kapazitätssteigerung erhebliche Umweltauswirkungen verbunden sein können oder gesetzlich festgeschriebene Schwellenwerte für die Leistung der Anlage überschritten werden.</t>
  </si>
  <si>
    <t>Kapazitätsverringerungen hat der Anlagenbetreiber zunächst der zuständigen Anlagengenehmigungsbehörde anzuzeigen. Wesentliche Anlagenänderungen sind im Wege einer Änderungsgenehmigung zu genehmigen. Geht aus der Änderungsgenehmigung hervor, dass durch die Anlagenänderung auch der nach Anhang 1 TEHG festgesetzte Schwellenwert unterschritten wird, bedarf der Anlagenbetreiber zur Freisetzung von Treibhausgasen keiner gesonderten Emissionsgenehmigung mehr.</t>
  </si>
  <si>
    <t>Gar nicht, die Änderung der Genehmigung kann vielmehr eine Änderung des Überwachungsplans erforderlich werden lassen (veränderte Anlagenabgrenzung, neue Quellen oder Stoffströme).</t>
  </si>
  <si>
    <t>Nein.</t>
  </si>
  <si>
    <t>PermitUpdateTotalNumber</t>
  </si>
  <si>
    <t>Q_5_1</t>
  </si>
  <si>
    <t>AdditionalNationalLegislation</t>
  </si>
  <si>
    <t>AdditionalNationalLegislationDetail</t>
  </si>
  <si>
    <t xml:space="preserve">•	Gesetz über den Handel mit Berechtigungen zur Emission von Treibhausgasen (Treibhausgas-Emissionshandelsgesetz – TEHG)
Das TEHG setzt die EU-Richtlinie über das europäische Handelssystem mit Treibhausgas-Emissionsberechtigungen in nationales Recht um und trifft auch Festlegungen zu folgenden Punkten, die teilweise auch die Verordnung (EU) Nr. 2018/2066 betreffen: Kompetenzverteilung zwischen Institutionen, Fristen für die Vorlage eines Überwachungsplans, Frist für die CO2-Berichterstattung, Regelungen zur Vor-Ort-Begehung, verbindliche elektronische Kommunikation, Bedingungen für die amtliche Feststellung des Betriebs einer einheitlichen Anlage, Festlegung des Oxidationsfaktors, Befreiung für Kleinemittenten, Bußgeldvorschriften. 
http://www.gesetze-im-internet.de/tehg_2011/TEHG.pdf 
•	Emissionshandelsverordnung 2020 (EHV 2020)
Die Verordnung zur Durchführung des TEHG in der Handelsperiode 2013 bis 2020 trifft zusätzlich Regelungen über Emissionsfaktoren und Nachweisanforderungen beim Einsatz von flüssigen Biobrenn- und Biokraftstoffen.
http://www.gesetze-im-internet.de/ehv_2020/EHV_2020.pdf 
•	Emissionshandelsverordnung 2030 (EHV 2030)
Die Verordnung zur Durchführung des TEHG in der Handelsperiode 2021 bis 2030 führt im Wesentlichen die o.g. Regelungen für die 4. Handelsperiode fort und trifft u.a. zusätzliche Regelungen über die Befreiung von Kleinemittenten.
https://www.gesetze-im-internet.de/ehv_2030/EHV_2030.pdf </t>
  </si>
  <si>
    <t>AdditionalNationalGuidance</t>
  </si>
  <si>
    <t>AdditionalNationalGuidanceDetail</t>
  </si>
  <si>
    <t xml:space="preserve">
•	Leitfaden zur Erstellung von Überwachungsplänen und Emissionsberichten für stationäre Anlagen in der 4. Handelsperiode (2021-2030) 
https://www.dehst.de/SharedDocs/downloads/DE/stationaere_anlagen/2021-2030/Ueberwachungsplan-Emissionsbericht_Leitfaden.pdf
•	 Leitfaden Luftfahrzeugbetreiber: Erstellung von Monitoringkonzepten und Emissionsberichten
•	https://www.dehst.de/SharedDocs/downloads/DE/luftverkehr/lv-leitfaden-monitoring-2022.pdf?__blob=publicationFile&amp;v=4Häufig gestellte Fragen 
https://www.dehst.de/SiteGlobals/Forms/antworten-finden/antworten-finden-formular.html
•	Excel-Arbeitshilfe Unsicherheitsberechnung 
https://www.dehst.de/SharedDocs/downloads/DE/stationaere_anlagen/2021-2030/Ueberwachungsplan_Arbeitshilfe-Unsicherheitsberechnung.xlsx
•	Excel-Arbeitshilfe Unsicherheitsberechnung - Anwendungsbeispiel A
https://www.dehst.de/SharedDocs/downloads/DE/stationaere_anlagen/2021-2030/Ueberwachungsplan_Arbeitshilfe-Unsicherheitsberechnung_Beispiel-1.xlsx
•	Excel-Arbeitshilfe Unsicherheitsberechnung - Anwendungsbeispiel B
https://www.dehst.de/SharedDocs/downloads/DE/stationaere_anlagen/2021-2030/Ueberwachungsplan_Arbeitshilfe-Unsicherheitsberechnung_Beispiel-2.xlsx
•	Excel-Arbeitshilfe Unsicherheitsberechnung - Anwendungsbeispiel C
https://www.dehst.de/SharedDocs/downloads/DE/stationaere_anlagen/2021-2030/Ueberwachungsplan_Arbeitshilfe-Unsicherheitsberechnung_Beispiel-3.xlsx 
•	Excel-Arbeitshilfe Unsicherheitsberechnung - Anwendungsbeispiel D
https://www.dehst.de/SharedDocs/downloads/DE/stationaere_anlagen/2021-2030/Ueberwachungsplan_Arbeitshilfe-Unsicherheitsberechnung_Beispiel-4.xlsx
•	Arbeitshilfe Kalkindustrie
https://www.dehst.de/SharedDocs/downloads/DE/stationaere_anlagen/2013-2020/Arbeitshilfe-Kalkindustrie.xlsx 
•	Beispiel für die Bestimmung der Rohtonmenge durch Rückrechnung
https://www.dehst.de/SharedDocs/downloads/DE/stationaere_anlagen/2013-2020/Keramik-Rueckrechnung-Beispiel.pdf 
•	Das Excel Tool für die Bestimmung der Analysenhäufigkeit und die Vorlage für den Probenahmeplan (beides auf Basis der von der Kommission veröffentlichten Arbeitshilfen) sind in deutscher Sprache auf unserer Internetseite veröffentlicht:
https://www.dehst.de/SharedDocs/downloads/DE/stationaere_anlagen/2021-2030/Ueberwachungsplan_Arbeitshilfe-Analysehaeufigkeit.xlsx
https://www.dehst.de/SharedDocs/downloads/DE/stationaere_anlagen/2013-2020/Probenahme-Beispielvorlage.pdf 
•	Prüfprotokoll für Förderbandwaagen:
https://www.dehst.de/SharedDocs/downloads/DE/stationaere_anlagen/2021-2030/Ueberwachungsplan_Arbeitshilfe-Pruefprotokoll-Foerderbandwaagen.xlsx 
•	Arbeitshilfe zur KEMS-Emissionsdatenauswertung:
https://www.dehst.de/SharedDocs/downloads/DE/stationaere_anlagen/2013-2020/Arbeitshilfe-KEMS.pdf
•	Einsatz kontinuierlicher-Emissionsmesssysteme (KEMS) zur Bestimmung der CO2-Emissionen:
https://www.dehst.de/SharedDocs/downloads/DE/publikationen/Erfahrungsbericht_KEMS.pdf 
•	Sekundärbrennstoffe: Hinweise zur Probenahme bei festen Sekundärbrennstoffen:
https://www.dehst.de/SharedDocs/downloads/DE/stationaere_anlagen/2013-2020/Probenahme-Sekundaerbrennstoffe.pdf 
•	Sekundärbrennstoffe: Excel- Arbeitshilfe zur Berechnung von CO2-Emissionen sowie Biomasseanteil und Emissionsfaktor für das FMS
https://www.dehst.de/SharedDocs/downloads/DE/stationaere_anlagen/2021-2030/Ueberwachungsplan_Arbeitshilfe-Berechnung-CO2-Emissionen.xlsx 
•	Sekundärbrennstoffe Anhang 2: Berechnung der Repräsentativität der Probenahme (DIN 19698-2, Anhang D)
https://www.dehst.de/SharedDocs/downloads/DE/stationaere_anlagen/2013-2020/Anhang-2_Berechnung-Repraesentativitaet.xlsx 
•	Sekundärbrennstoffe: Auswerteverfahren von Analysendaten zur CO2-Emissionsberichterstattung und statistische Bewertung der Repräsentativität der Probenahme von Sekundärbrennstoffen
https://www.dehst.de/SharedDocs/downloads/DE/stationaere_anlagen/2013-2020/Auswerteverfahren-Analysendaten-Berichterstattung.pdf </t>
  </si>
  <si>
    <t>Q_5_2</t>
  </si>
  <si>
    <t>MeasuresStreamline</t>
  </si>
  <si>
    <t>MeasuresStreamlineYesNo</t>
  </si>
  <si>
    <t>MeasuresStreamlineComments</t>
  </si>
  <si>
    <t>Es gibt einen regelmäßigen Informationsaustausch zwischen den verantwortlichen Arbeitseinheiten des Nationalen Inventars und des Emissionshandels (ETS). Die Emissionsdaten auf Tätigkeitsebene nach TEHG werden für die Plausibilisierung der Inventar-Daten auf Quellgruppenebene (CRF-Code) eingesetzt. Ebenso werden spezifische Daten wie Emissionsfaktoren und Heizwerte verglichen. Es wird geprüft, ob in ausgewählten Quellgruppen ausschließlich ETS-Daten für das Nationale Inventar verwendet werden können.</t>
  </si>
  <si>
    <t>Siehe oben</t>
  </si>
  <si>
    <t>Es gibt derzeit keinen strukturierten Informationsaustausch zwischen ETS und E-PRTR.</t>
  </si>
  <si>
    <t>Q_5_3</t>
  </si>
  <si>
    <t>CommissionTemplatesMRR</t>
  </si>
  <si>
    <t>S05_MSCustomisedTemplatesMRR1</t>
  </si>
  <si>
    <t>SpecificTemplateOrFileFormat</t>
  </si>
  <si>
    <t>HowTemplateSpecific</t>
  </si>
  <si>
    <t>Nutzung eines spezifischen Dateiformats (Formular-Management-System (FMS)). Keine zusätzlichen Elemente im Vergleich zum Template der EU Kommission.</t>
  </si>
  <si>
    <t>Da die meisten Informationen, die im Template der EU Kommission abgefragt werden, bereits mit den oben genannten Überwachungsplänen und Emissionsberichten vorliegen, wurde die mitgliedstaatenspezifische Vorlage für den Verbesserungsbericht im Vergleich zum Template der Kommission reduziert.</t>
  </si>
  <si>
    <t>S05_MSCustomisedTemplatesMRR2</t>
  </si>
  <si>
    <t xml:space="preserve">Nutzung eines spezifischen Dateiformats (Formular-Management-System (FMS)). Keine zusätzlichen Elemente im Vergleich zum Template der EU Kommission. </t>
  </si>
  <si>
    <t>ComplyMeasuresArt74</t>
  </si>
  <si>
    <t>Das Umweltbundesamt hat mit der Bekanntmachung im elektronischen Bundesanzeiger, eBAnz AT 14.03.2019 B8 i.V.m. § 23 TEHG und Art. 74 Abs. 1 MVO die verbindliche Nutzung der auf den Internetseiten der DEHSt veröffentlichten elektronischen Vorlagen (Formular-Management-System, FMS) für Überwachungspläne und Emissionsberichte vorgeschrieben.
Bei der Erstellung der elektronischen Vorlagen wurde sichergestellt, dass das auf XML basierende FMS mindestens die Informationen enthält, die in den von der EU Kommission veröffentlichten elektronischen Vorlagen und Spezifikationen erhoben werden. 
https://www.formulare.dehst.de/index.html</t>
  </si>
  <si>
    <t>Q_5_4</t>
  </si>
  <si>
    <t>AutomatedSystemInformationExchange</t>
  </si>
  <si>
    <t>ComplyRequirementsArt75</t>
  </si>
  <si>
    <t>Die elektronische Kommunikation zwischen Anlagenbetreiber, Prüfstelle und der DEHSt erfolgt über die Virtuelle Poststelle (VPS). Diese Anwendung ermöglicht mit Hilfe von Verschlüsselung und qualifizierter elektronischer Signatur der Nachrichten eine rechtssichere Kommunikation: Integrität (Art. 75 (1) a) der Verordnung (EU) Nr. 2018/2066 (im Weiteren MVO)) und Authentizität (Art. 75 (1) c) MVO) der Daten werden durch eine elektronische Signatur sichergestellt; die Vertraulichkeit der Daten (Art. 75 (1) b) MVO) wird durch eine Inhaltsdatenverschlüsselung garantiert. Ein Zeitstempelverfahren inklusive Empfangsbestätigung sorgt für eine Nicht-Abstreitbarkeit des Versands bzw. der Zustellung (Art. 75 (1) d) MVO).
Die Verpflichtung zur Verwendung von VPS und elektronischer Signatur folgt aus §23 TEHG i.V.m. der Bekanntmachung des Umweltbundesamtes vom 14.03.2019 im elektronischen Bundesanzeiger (eBAnz AT 14.03.2019 B8).
Sowohl das Erfassungssystem (Formular Management System, FMS) als auch die VPS, das IT-Vorgangsbearbeitungssystem (DOMEA) und die Anlagendatenbank (ADB) zur Auswertung der Daten werden unter Berücksichtigung hoher Sicherheitsanforderungen in zugangsgeschützten Bereichen (Art. 75 (2) a) (i) MVO) betrieben. Die Benutzung aller Systeme erfordert eine Authentifizierung und eine entsprechende Zuordnung von Accounts zu Rollen (Autorisierung), vgl. Art. 75 (2) a) (ii) MVO.
Die Lesbarkeit der Daten über längere Zeiträume hinweg wird durch Verwendung offener Standards wie XML und von Archiv-Datenformaten wie PDF/A erleichtert (Art. 75 (2) b) MVO).
Die Veraktung sämtlicher vorgangsrelevanter Daten sowie die Historisierung in der ADB ermöglichen eine personen- und datumsscharfe Nachvollziehbarkeit aller Änderungen (Art. 75 (2) c) MVO).</t>
  </si>
  <si>
    <t>Q_5_5</t>
  </si>
  <si>
    <t>S05_InstallationFuelConsEmissions</t>
  </si>
  <si>
    <t>FuelConsumption</t>
  </si>
  <si>
    <t>Q_5_6</t>
  </si>
  <si>
    <t>Q_5_7</t>
  </si>
  <si>
    <t>FuelAnnualEmissions</t>
  </si>
  <si>
    <t>S05_AggregateTotalEmissionsByCRF</t>
  </si>
  <si>
    <t>CRFCategory1</t>
  </si>
  <si>
    <t>0</t>
  </si>
  <si>
    <t>CRFCategory2</t>
  </si>
  <si>
    <t>TotalEmissionsTCo2e</t>
  </si>
  <si>
    <t>TotalCombustionEmissionsTCo2e</t>
  </si>
  <si>
    <t>TotalProcessEmissionsTCo2e</t>
  </si>
  <si>
    <t>S05_DefaultValues</t>
  </si>
  <si>
    <t>InstallationCategory</t>
  </si>
  <si>
    <t>FuelMaterialType</t>
  </si>
  <si>
    <t>Abfälle nach AVV 19 12 06*</t>
  </si>
  <si>
    <t>Aldehyde</t>
  </si>
  <si>
    <t>Andere Mineralölprodukte in [t]</t>
  </si>
  <si>
    <t>Anthrazit (Wärmeerzeugung)</t>
  </si>
  <si>
    <t>BaCO3</t>
  </si>
  <si>
    <t>Biodiesel</t>
  </si>
  <si>
    <t>Biomasse-Brennstoff, Brennholz</t>
  </si>
  <si>
    <t>Biomasse-Brennstoff, Rinde</t>
  </si>
  <si>
    <t>Biomasse-Brennstoff, Sonstige feste</t>
  </si>
  <si>
    <t>Biomasse-Brennstoff, Sonstige in [1000 Nm³]</t>
  </si>
  <si>
    <t>Biomasse-Brennstoff, Sonstige in [t]</t>
  </si>
  <si>
    <t>Biomasse-Brennstoff, Sonstiges Biogas</t>
  </si>
  <si>
    <t>Braunkohlenbrikett Lausitz</t>
  </si>
  <si>
    <t>Braunkohlenbrikett Rheinland</t>
  </si>
  <si>
    <t>Braunkohlenstaub Lausitz</t>
  </si>
  <si>
    <t>Braunkohlenstaub Rheinland</t>
  </si>
  <si>
    <t>CaCO3</t>
  </si>
  <si>
    <t>CaO</t>
  </si>
  <si>
    <t>Dieselkraftstoff</t>
  </si>
  <si>
    <t>Dolomit</t>
  </si>
  <si>
    <t>Elektrodenabbrand/Anodenmaterial</t>
  </si>
  <si>
    <t>Erdgas H</t>
  </si>
  <si>
    <t>Erdgas L</t>
  </si>
  <si>
    <t>Ersatzwert für Festbrennstoff</t>
  </si>
  <si>
    <t>Ersatzwert für feste Produkte</t>
  </si>
  <si>
    <t>Ersatzwert für feste Stoffe</t>
  </si>
  <si>
    <t>Ersatzwert für Flüssigbrennstoff</t>
  </si>
  <si>
    <t>Ersatzwert für flüssige Stoffe</t>
  </si>
  <si>
    <t>Ersatzwert für gasförmige Stoffe</t>
  </si>
  <si>
    <t>Ersatzwert für gasförmige Stoffe in [t]</t>
  </si>
  <si>
    <t>Ersatzwert für gasförmigen Brennstoff in [1000 Nm³]</t>
  </si>
  <si>
    <t>Ersatzwert für gasförmigen Brennstoff in [t]</t>
  </si>
  <si>
    <t>Ethan</t>
  </si>
  <si>
    <t>Ethylen</t>
  </si>
  <si>
    <t>Ethylendichlorid</t>
  </si>
  <si>
    <t>Ethylenglykol</t>
  </si>
  <si>
    <t>Fettkohle</t>
  </si>
  <si>
    <t>Flugturbinenkraftstoff</t>
  </si>
  <si>
    <t>Flüssiggas</t>
  </si>
  <si>
    <t>Flüssiggas (100% Butan)</t>
  </si>
  <si>
    <t>Flüssiggas (100% Propan)</t>
  </si>
  <si>
    <t>Glyoxal</t>
  </si>
  <si>
    <t>Harnstoff/Urea</t>
  </si>
  <si>
    <t>Heizgas (Ersatzwert)</t>
  </si>
  <si>
    <t>Heizöl EL nach DIN 51603, Teil 1</t>
  </si>
  <si>
    <t>Heizöl S nach DIN 51603, Teil 3</t>
  </si>
  <si>
    <t>Holzkohle</t>
  </si>
  <si>
    <t>K2CO3</t>
  </si>
  <si>
    <t>Kohlendioxid</t>
  </si>
  <si>
    <t>Kohlenmonoxid</t>
  </si>
  <si>
    <t>Kokskohle</t>
  </si>
  <si>
    <t>LBO-Beschickungs-Kohlenstoff</t>
  </si>
  <si>
    <t>Legierungsbestandteile</t>
  </si>
  <si>
    <t>Li2CO3</t>
  </si>
  <si>
    <t>Lösemittel (Abfall)</t>
  </si>
  <si>
    <t>Methan</t>
  </si>
  <si>
    <t>Methanol</t>
  </si>
  <si>
    <t>MgCO3</t>
  </si>
  <si>
    <t>Na2CO3</t>
  </si>
  <si>
    <t>NaHCO3</t>
  </si>
  <si>
    <t>Nichteisenerz</t>
  </si>
  <si>
    <t>Ottokraftstoff</t>
  </si>
  <si>
    <t>Petrolkoks</t>
  </si>
  <si>
    <t>Polystyrol (geschäumt)</t>
  </si>
  <si>
    <t>Produktion sonstiger Kalk</t>
  </si>
  <si>
    <t>Propan</t>
  </si>
  <si>
    <t>Propylen</t>
  </si>
  <si>
    <t>Raffineriegas in [t] (Ersatzwert)</t>
  </si>
  <si>
    <t>Rohbraunkohle Rheinland</t>
  </si>
  <si>
    <t>Rohmaterialmischung</t>
  </si>
  <si>
    <t>Schmierstoff</t>
  </si>
  <si>
    <t>sonstige Kohlen</t>
  </si>
  <si>
    <t>SrCO3</t>
  </si>
  <si>
    <t>Stahl/Stahlschrott</t>
  </si>
  <si>
    <t>Steinkohlenkoks</t>
  </si>
  <si>
    <t>Ton/Erden</t>
  </si>
  <si>
    <t>Torf</t>
  </si>
  <si>
    <t>Vollwertkohle Deutschland</t>
  </si>
  <si>
    <t>Vollwertkohle Import Kolumbien</t>
  </si>
  <si>
    <t>Vollwertkohle Import Polen</t>
  </si>
  <si>
    <t>Wasserstoff</t>
  </si>
  <si>
    <t>Wasserstoff (in [t])</t>
  </si>
  <si>
    <t>zugekauftes Roheisen</t>
  </si>
  <si>
    <t>Acetaldehyd</t>
  </si>
  <si>
    <t>Adipinsäure</t>
  </si>
  <si>
    <t>Alkohole</t>
  </si>
  <si>
    <t>Biomasse-Brennstoff, Klärgas</t>
  </si>
  <si>
    <t>Cyanwasserstoff</t>
  </si>
  <si>
    <t>Eisenschrott</t>
  </si>
  <si>
    <t>Kalziumkarbid/Calciumcarbid</t>
  </si>
  <si>
    <t>Produktion von Magnesiumoxid</t>
  </si>
  <si>
    <t>Vinylacetat</t>
  </si>
  <si>
    <t>Vinylchloridmonomer</t>
  </si>
  <si>
    <t>Vollwertkohle Import Russland</t>
  </si>
  <si>
    <t>Abfälle nach AVV 19 12 07</t>
  </si>
  <si>
    <t>Alkine</t>
  </si>
  <si>
    <t>Altreifen</t>
  </si>
  <si>
    <t>Aromaten (auch alkylierte)</t>
  </si>
  <si>
    <t>Ca(OH)2</t>
  </si>
  <si>
    <t>Carbonsäuren, Dicarbonsäuren, Carbonsäureanhydride</t>
  </si>
  <si>
    <t>Claus-Einsatzgas in [t]</t>
  </si>
  <si>
    <t>Cyclohexanol</t>
  </si>
  <si>
    <t>Cyclohexanon</t>
  </si>
  <si>
    <t>Eisenschwamm</t>
  </si>
  <si>
    <t>Ethylenoxid</t>
  </si>
  <si>
    <t>Melamin</t>
  </si>
  <si>
    <t>Phenole</t>
  </si>
  <si>
    <t>Produktion von Branntkalk</t>
  </si>
  <si>
    <t>Produktion von Dolomitkalk</t>
  </si>
  <si>
    <t>Raffineriegas (Ersatzwert)</t>
  </si>
  <si>
    <t>Roheisen</t>
  </si>
  <si>
    <t>Sekundärmetall</t>
  </si>
  <si>
    <t>Altkunststoff</t>
  </si>
  <si>
    <t>Altöl</t>
  </si>
  <si>
    <t>Ammoniak</t>
  </si>
  <si>
    <t>Biomasse-Brennstoff, Tiermehle und -fette</t>
  </si>
  <si>
    <t>Braunkohlenkoks</t>
  </si>
  <si>
    <t>Claus-Einsatzgas</t>
  </si>
  <si>
    <t>Eisenerz</t>
  </si>
  <si>
    <t>Gips aus REA-Anlagen (bezogen auf CaCO3-Einsatz) CaSO4*2H2O</t>
  </si>
  <si>
    <t>Katalysatorkoks-Abbrand (Ersatzwert)</t>
  </si>
  <si>
    <t>Klärschlamm</t>
  </si>
  <si>
    <t>Rohöl</t>
  </si>
  <si>
    <t>Vollwertkohle Import Südafrika</t>
  </si>
  <si>
    <t>Wirbelschicht-Braunkohle Rheinland</t>
  </si>
  <si>
    <t>InstallationNumber</t>
  </si>
  <si>
    <t>Q_5_9</t>
  </si>
  <si>
    <t>S05_CategoryCHighestTierNotApplied</t>
  </si>
  <si>
    <t>InstallationID</t>
  </si>
  <si>
    <t>1000</t>
  </si>
  <si>
    <t>1002</t>
  </si>
  <si>
    <t>1003</t>
  </si>
  <si>
    <t>1004</t>
  </si>
  <si>
    <t>1012</t>
  </si>
  <si>
    <t>1013</t>
  </si>
  <si>
    <t>1014</t>
  </si>
  <si>
    <t>1015</t>
  </si>
  <si>
    <t>1035</t>
  </si>
  <si>
    <t>1056</t>
  </si>
  <si>
    <t>1166</t>
  </si>
  <si>
    <t>1190</t>
  </si>
  <si>
    <t>1803</t>
  </si>
  <si>
    <t>1867</t>
  </si>
  <si>
    <t>2233</t>
  </si>
  <si>
    <t>2362</t>
  </si>
  <si>
    <t>SourceStreamAffected</t>
  </si>
  <si>
    <t>Heizgas PO</t>
  </si>
  <si>
    <t>Grünkoks, trocken</t>
  </si>
  <si>
    <t>BEHG: Import Erdgas</t>
  </si>
  <si>
    <t>Einsatzprodukt Wasserstofferzeugung</t>
  </si>
  <si>
    <t>Fackelgas</t>
  </si>
  <si>
    <t>Heizgas zum Kessel BA 1401</t>
  </si>
  <si>
    <t>Heizgas zur Destillation V2</t>
  </si>
  <si>
    <t>Heizgas zur MDE (Mitteldest.Entschwefelung)</t>
  </si>
  <si>
    <t>Heizgas zur SOEV</t>
  </si>
  <si>
    <t>HG zum Hydrocracker, V3 und Claus 4 (zusammengelegt)</t>
  </si>
  <si>
    <t>HG zum Kessel BA 1201</t>
  </si>
  <si>
    <t>HVS</t>
  </si>
  <si>
    <t>TOP-Rückstand</t>
  </si>
  <si>
    <t>Erdgas</t>
  </si>
  <si>
    <t>Einsatz Wasserstofferzeugung</t>
  </si>
  <si>
    <t>VCU-Einsatzgas</t>
  </si>
  <si>
    <t>Einsatz Mixgas H2A (netto)</t>
  </si>
  <si>
    <t>Einsatz RG H2B</t>
  </si>
  <si>
    <t>VB-Heizgas</t>
  </si>
  <si>
    <t>Gas zur Raffineriefackel</t>
  </si>
  <si>
    <t>Einsatzgas/Raffineriegas STR</t>
  </si>
  <si>
    <t>Heizgas GAS-A581</t>
  </si>
  <si>
    <t>Heizgas MEA-A601</t>
  </si>
  <si>
    <t>Koksgruslagerveränderung Input</t>
  </si>
  <si>
    <t>Kokslagerveränderung Input</t>
  </si>
  <si>
    <t>Mischgas</t>
  </si>
  <si>
    <t>BGS-SZ</t>
  </si>
  <si>
    <t>Abscheidesäuregemisch</t>
  </si>
  <si>
    <t>Clausgas (CG)</t>
  </si>
  <si>
    <t>Hochofengas</t>
  </si>
  <si>
    <t>Braunkohlenschlamm</t>
  </si>
  <si>
    <t>EmissionSourceAffected</t>
  </si>
  <si>
    <t>Fluid Catalytic Cracking (FCC) - Regenerator-Abgas 
Das Abgas wird kontinuierlich auf verschieden Komponenten analysiert.  
Die in den Regenerator eingeleitete Luftmenge (Airblower) geht in die Berechnung ein</t>
  </si>
  <si>
    <t>In den Kalzinern 1 und 2 (Anlage 24 und 25) wird Rohkoks aus dem Koker (Anlage 2) veredelt. Bei der Veredelung (Trocknen des Koks, Austreiben von flüchtigen Bestandteilen sowie Umwandeln der Kristallstruktur) fallen prozessbedingt CO2-Emissionen an. Zusammen mit  den prozeßbedingten Emissionen werden auch die energiebedingten Emissionen (Heizgas) über die Rauchgasmengenmessung sowie der CO2- und H2O-Analyse im gemeinsamen Rauchgaskanal zum Kamin 1 bestimmt.</t>
  </si>
  <si>
    <t>CO2 KEMS Kalzinierung. Die CO2 Messung erfasst die Emissionen der Kalzinierung und des nachgeschalteten Abhitzekessels (Kombi- und Solobetrieb). Dabei werden auch die CO2 Emissionen aus dem Heizgas mit gemessen. Das Heizgas wird bereits über die Messblenden F5821 und F5831 erfasst. Um eine Doppelzählung zu vermeiden, wird von der KEMS die Menge des Stroms 20c abgezogen.</t>
  </si>
  <si>
    <t>CO2 aus FCC-Regeneration als FCC-Koks</t>
  </si>
  <si>
    <t>Koks aus Katalysatorabbrand in der FCC-Anlage 651</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</si>
  <si>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</si>
  <si>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</si>
  <si>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</si>
  <si>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</si>
  <si>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</si>
  <si>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</si>
  <si>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</si>
  <si>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</si>
  <si>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</si>
  <si>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</si>
  <si>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</si>
  <si>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</si>
  <si>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1010</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</si>
  <si>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</si>
  <si>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</si>
  <si>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</si>
  <si>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</si>
  <si>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</si>
  <si>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</si>
  <si>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</si>
  <si>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</si>
  <si>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</si>
  <si>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</si>
  <si>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</si>
  <si>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</si>
  <si>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</si>
  <si>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</si>
  <si>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2400</t>
  </si>
  <si>
    <t>1214</t>
  </si>
  <si>
    <t>2299</t>
  </si>
  <si>
    <t>2910</t>
  </si>
  <si>
    <t>2747</t>
  </si>
  <si>
    <t>2751</t>
  </si>
  <si>
    <t>1022</t>
  </si>
  <si>
    <t>1037</t>
  </si>
  <si>
    <t>1041</t>
  </si>
  <si>
    <t>1044</t>
  </si>
  <si>
    <t>1045</t>
  </si>
  <si>
    <t>1051</t>
  </si>
  <si>
    <t>1052</t>
  </si>
  <si>
    <t>1060</t>
  </si>
  <si>
    <t>1066</t>
  </si>
  <si>
    <t>1649</t>
  </si>
  <si>
    <t>2727</t>
  </si>
  <si>
    <t>2732</t>
  </si>
  <si>
    <t>2736</t>
  </si>
  <si>
    <t>2745</t>
  </si>
  <si>
    <t>2756</t>
  </si>
  <si>
    <t>2762</t>
  </si>
  <si>
    <t>2767</t>
  </si>
  <si>
    <t>2776</t>
  </si>
  <si>
    <t>2797</t>
  </si>
  <si>
    <t>2798</t>
  </si>
  <si>
    <t>2799</t>
  </si>
  <si>
    <t>2803</t>
  </si>
  <si>
    <t>2805</t>
  </si>
  <si>
    <t>2808</t>
  </si>
  <si>
    <t>2930</t>
  </si>
  <si>
    <t>2856</t>
  </si>
  <si>
    <t>2929</t>
  </si>
  <si>
    <t>2550</t>
  </si>
  <si>
    <t>2572</t>
  </si>
  <si>
    <t>InstallationIdReceiving</t>
  </si>
  <si>
    <t>2581</t>
  </si>
  <si>
    <t>2197</t>
  </si>
  <si>
    <t>2731</t>
  </si>
  <si>
    <t>1070</t>
  </si>
  <si>
    <t>2025</t>
  </si>
  <si>
    <t>2153</t>
  </si>
  <si>
    <t>2533</t>
  </si>
  <si>
    <t>1048</t>
  </si>
  <si>
    <t>1064</t>
  </si>
  <si>
    <t>1073</t>
  </si>
  <si>
    <t>1075</t>
  </si>
  <si>
    <t>1131</t>
  </si>
  <si>
    <t>1138</t>
  </si>
  <si>
    <t>1151</t>
  </si>
  <si>
    <t>1152</t>
  </si>
  <si>
    <t>1158</t>
  </si>
  <si>
    <t>1817</t>
  </si>
  <si>
    <t>1843</t>
  </si>
  <si>
    <t>1929</t>
  </si>
  <si>
    <t>1988</t>
  </si>
  <si>
    <t>2165</t>
  </si>
  <si>
    <t>2519</t>
  </si>
  <si>
    <t>2289</t>
  </si>
  <si>
    <t>2543</t>
  </si>
  <si>
    <t>1077</t>
  </si>
  <si>
    <t>2093</t>
  </si>
  <si>
    <t>2194</t>
  </si>
  <si>
    <t>1079</t>
  </si>
  <si>
    <t>2235</t>
  </si>
  <si>
    <t>2275</t>
  </si>
  <si>
    <t>2545</t>
  </si>
  <si>
    <t>1057</t>
  </si>
  <si>
    <t>2159</t>
  </si>
  <si>
    <t>1652</t>
  </si>
  <si>
    <t>2733</t>
  </si>
  <si>
    <t>2854</t>
  </si>
  <si>
    <t>2931</t>
  </si>
  <si>
    <t>1786</t>
  </si>
  <si>
    <t>1823</t>
  </si>
  <si>
    <t>2454</t>
  </si>
  <si>
    <t>2073</t>
  </si>
  <si>
    <t>1030</t>
  </si>
  <si>
    <t>2403</t>
  </si>
  <si>
    <t>2792</t>
  </si>
  <si>
    <t>1986</t>
  </si>
  <si>
    <t>2816</t>
  </si>
  <si>
    <t>2556</t>
  </si>
  <si>
    <t>2571</t>
  </si>
  <si>
    <t>AmountCO2Transferred</t>
  </si>
  <si>
    <t>InherentCO2Received</t>
  </si>
  <si>
    <t>ReceivingInstallationType</t>
  </si>
  <si>
    <t>Q_5_14</t>
  </si>
  <si>
    <t>ContinuousEmissionsMeasurement</t>
  </si>
  <si>
    <t>S05_ContinuousEmissionsMeasurementDetail</t>
  </si>
  <si>
    <t>InstallationIDCO2</t>
  </si>
  <si>
    <t>1006</t>
  </si>
  <si>
    <t>1007</t>
  </si>
  <si>
    <t>1009</t>
  </si>
  <si>
    <t>2003</t>
  </si>
  <si>
    <t>2261</t>
  </si>
  <si>
    <t>2546</t>
  </si>
  <si>
    <t>2568</t>
  </si>
  <si>
    <t>2602</t>
  </si>
  <si>
    <t>2746</t>
  </si>
  <si>
    <t>2758</t>
  </si>
  <si>
    <t>2786</t>
  </si>
  <si>
    <t>2804</t>
  </si>
  <si>
    <t>2847</t>
  </si>
  <si>
    <t>2858</t>
  </si>
  <si>
    <t>2859</t>
  </si>
  <si>
    <t>2932</t>
  </si>
  <si>
    <t>InstallationIDN2O</t>
  </si>
  <si>
    <t>2741</t>
  </si>
  <si>
    <t>2742</t>
  </si>
  <si>
    <t>2743</t>
  </si>
  <si>
    <t>2744</t>
  </si>
  <si>
    <t>2748</t>
  </si>
  <si>
    <t>2749</t>
  </si>
  <si>
    <t>2750</t>
  </si>
  <si>
    <t>TotalEmissionsCO2E</t>
  </si>
  <si>
    <t>ContinuousMeasurementTotalEmissions</t>
  </si>
  <si>
    <t>FlueGasContainBiomass</t>
  </si>
  <si>
    <t>Q_5_15</t>
  </si>
  <si>
    <t>SustainabilityComplianceDemonstrate</t>
  </si>
  <si>
    <t xml:space="preserve">Für flüssige Biobrennstoffe muss in Deutschland die Nachhaltigkeit gemäß Biomassenstrom-Nachhaltigkeitsverordnung (BioSt-NachV) nachgewiesen werden (vgl. §§ 3 und 13 Emissionshandelsverordnung, EHV 2020). Der Nachweis der Nachhaltigkeit erfolgt über die Datenbank Nabisy der Bundesanstalt für Landwirtschaft und Ernährung (BLE). Die nachhaltige Biomasseerzeugung wird über ein Zertifizierungsverfahren kontrolliert. Dazu werden von der BLE Zertifizierungssysteme (z.B. ISCC System GmbH und REDcert GmbH) und Zertifizierungsstellen (z.B. TÜV Süd, GUTcert) auf Antrag anerkannt. Die BLE überwacht diese auch. Zertifizierungsstellen kontrollieren die Produktionskette nach den Vorgaben eines Zertifizierungssystems. Das Zertifizierungssystem sorgt dafür, dass die Rückverfolgbarkeit der Biomasse bis zur letzten Schnittstelle durch ein Massenbilanzsystem gewährleistet wird. 
Die Vorgaben der Nachhaltigkeitsverordnung gelten für Betriebe der gesamten Erzeugungs-, Verarbeitungs- und Lieferkette bis zum Anlagenbetreiber bzw. Nachweispflichtigen. Schnittstellen sind zertifizierungsbedürftige Betriebe entlang der Herstellungs- und Lieferkette. </t>
  </si>
  <si>
    <t>S05_BiomassInstallations</t>
  </si>
  <si>
    <t>BiomassInstallationCategory</t>
  </si>
  <si>
    <t>NumberUsingBiomass</t>
  </si>
  <si>
    <t>EmissionsBiomassSustainabilitySatisfied</t>
  </si>
  <si>
    <t>EmissionsFossil</t>
  </si>
  <si>
    <t>EnergyZeroRatedBiomass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</si>
  <si>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</si>
  <si>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</si>
  <si>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</si>
  <si>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</si>
  <si>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</si>
  <si>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</si>
  <si>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</si>
  <si>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</si>
  <si>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</si>
  <si>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</si>
  <si>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</si>
  <si>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</si>
  <si>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</si>
  <si>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</si>
  <si>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</si>
  <si>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Q_5_21</t>
  </si>
  <si>
    <t>S05_SmallEmittersTool</t>
  </si>
  <si>
    <t>CountSmallEmitters</t>
  </si>
  <si>
    <t>Q_5_22</t>
  </si>
  <si>
    <t>AircraftImprovementReportRequired</t>
  </si>
  <si>
    <t>AircraftImprovementReportSubmitted</t>
  </si>
  <si>
    <t>Q_5_23</t>
  </si>
  <si>
    <t>AircraftSimplifiedMonitoringArt13</t>
  </si>
  <si>
    <t>Q_6_1</t>
  </si>
  <si>
    <t>S06_TotalVerifiers</t>
  </si>
  <si>
    <t>CountVerifiersInstallations</t>
  </si>
  <si>
    <t>MSVerifiersInstallations</t>
  </si>
  <si>
    <t>CountVerifiersAviation</t>
  </si>
  <si>
    <t>MSVerifiersAviation</t>
  </si>
  <si>
    <t>FR</t>
  </si>
  <si>
    <t>S06_AccredCertVerifiersAnnexI</t>
  </si>
  <si>
    <t>AccredCertScope</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</si>
  <si>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</si>
  <si>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</si>
  <si>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</si>
  <si>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</si>
  <si>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</si>
  <si>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</si>
  <si>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</si>
  <si>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</si>
  <si>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</si>
  <si>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</si>
  <si>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</si>
  <si>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</si>
  <si>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</si>
  <si>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</si>
  <si>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</si>
  <si>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S06_NegativeOpinionInstallations</t>
  </si>
  <si>
    <t>CountNegativeOpinions</t>
  </si>
  <si>
    <t>Q_6_4</t>
  </si>
  <si>
    <t>InstallationsVerificationReportIssues</t>
  </si>
  <si>
    <t>Q_6_5</t>
  </si>
  <si>
    <t>InstallationsVerificationReportChecks</t>
  </si>
  <si>
    <t>S06_InstallationsVerificationReportChecksDetail1</t>
  </si>
  <si>
    <t>PercentageShare</t>
  </si>
  <si>
    <t>FurtherInformation</t>
  </si>
  <si>
    <t>Offen, da Prüfung nicht abgeschlossen, aber vorgesehen, u.a.: Abgleich mit historischen Daten, mit bekannten Berechnungsfaktoren aus der Vergangenheit, mit Leistungs- bzw. Produktionsdaten soweit bekannt</t>
  </si>
  <si>
    <t>Offen, da Prüfung nicht abgeschlossen, aber vorgesehen.</t>
  </si>
  <si>
    <t>SelectingCriteria</t>
  </si>
  <si>
    <t>S06_InstallationsVerificationReportChecksDetail2</t>
  </si>
  <si>
    <t>NumberOfReports</t>
  </si>
  <si>
    <t>S06_InstallationsVerificationReportChecksDetail3</t>
  </si>
  <si>
    <t>ActionsTaken</t>
  </si>
  <si>
    <t>Offen, da Prüfung nicht abgeschlossen (das Gesetz sieht Schätzung von Emissionsdaten und Bußgelder für fehlerhafte Emissionsberichte vor)</t>
  </si>
  <si>
    <t>Offen, da Prüfung nicht abgeschlossen; erfahrungsgemäß wird im Rahmen der Berichtsprüfung auch Bedarf für Änderungen der Überwachungspläne festgestellt</t>
  </si>
  <si>
    <t>Q_6_6</t>
  </si>
  <si>
    <t>InstallationVisitsWaivedHighEmitters</t>
  </si>
  <si>
    <t>InstallationsVisitsWaivedLowEmitters</t>
  </si>
  <si>
    <t>InstallationsVisitsWaivedLowEmittersDetail</t>
  </si>
  <si>
    <t>Q_6_8</t>
  </si>
  <si>
    <t>S06_NegativeOpinionAircraft</t>
  </si>
  <si>
    <t>Q_6_9</t>
  </si>
  <si>
    <t>AircraftOperatorsVerificationReportIssues</t>
  </si>
  <si>
    <t>Q_6_10</t>
  </si>
  <si>
    <t>AircraftOperatorsVerificationReportChecks</t>
  </si>
  <si>
    <t>S06_AircraftOperatorsVerificationEmissionReportChecks1</t>
  </si>
  <si>
    <t>100% (detailierte Analyse über ein IT-Tool)</t>
  </si>
  <si>
    <t>S06_AircraftOperatorsVerificationEmissionReportChecks2</t>
  </si>
  <si>
    <t>S06_AircraftOperatorsVerificationEmissionReportChecks3</t>
  </si>
  <si>
    <t>Anhörung und damit Anpassung der gemeldeten Emissionen</t>
  </si>
  <si>
    <t>Q_6_12</t>
  </si>
  <si>
    <t>VirtualVisitsAircraft</t>
  </si>
  <si>
    <t>S06_VirtualVisitsAircraftDetails</t>
  </si>
  <si>
    <t>NumberOfAirOperatorsVV</t>
  </si>
  <si>
    <t>AuthorityApproval</t>
  </si>
  <si>
    <t>ConfirmationConditionsMet</t>
  </si>
  <si>
    <t>Noch nicht geprüft</t>
  </si>
  <si>
    <t>Q_7_3</t>
  </si>
  <si>
    <t>AircraftOperatorsMandateArt15UseNumber</t>
  </si>
  <si>
    <t>Q_8_1</t>
  </si>
  <si>
    <t>CommissionTemplatesAllocation</t>
  </si>
  <si>
    <t>S08_MSCustomisedTemplatesAllocation</t>
  </si>
  <si>
    <t>Anwendung eines spezifischen Dateiformats ("Formular-Management-System", FMS); keine zusätzlichen Elemente im Vergleich zum Template der EU-Kommission</t>
  </si>
  <si>
    <t>Q_8_2</t>
  </si>
  <si>
    <t>FeesAllocation</t>
  </si>
  <si>
    <t>Q_8_3</t>
  </si>
  <si>
    <t>ITforAllocationData</t>
  </si>
  <si>
    <t>Q_8_4</t>
  </si>
  <si>
    <t>S08_RenunciationSuspensionAllowances</t>
  </si>
  <si>
    <t>Q_8_5</t>
  </si>
  <si>
    <t>SubInstallationBenchmark61</t>
  </si>
  <si>
    <t>SubInstallationBenchmark61Reject</t>
  </si>
  <si>
    <t>S08_SubInstallationBenchmark61RejectDetail</t>
  </si>
  <si>
    <t>FuelBenchmark</t>
  </si>
  <si>
    <t>HeatBenchmark</t>
  </si>
  <si>
    <t>SubInstallationBenchmark62</t>
  </si>
  <si>
    <t>S08_SubInstallationBenchmark62Detail</t>
  </si>
  <si>
    <t>Q_8_6</t>
  </si>
  <si>
    <t>S08_ScopeExclusion</t>
  </si>
  <si>
    <t>Q_8_7</t>
  </si>
  <si>
    <t>Article10cApplied</t>
  </si>
  <si>
    <t>Q_8_10</t>
  </si>
  <si>
    <t>AdditionalParametersRequired</t>
  </si>
  <si>
    <t>AdditionalParametersType</t>
  </si>
  <si>
    <t>Gemäß Art. 3 Abs. 2 der Durchführungsverordnung (EU) 2019/1842 haben wir Betreiber verpflichtet, die folgenden zusätzlichen Daten zu melden:
-für jedes Berichtsjahr alle Daten, die der Betreiber für den Antrag auf kostenlose Zuteilung in der 4. Handelsperiode einreichen musste, sowie:
-Für jede Teilanlage: Zuordnung der zugehörigen Ein- und Ausgänge;
- für Anlagenteile mit Wärme-Benchmark: wenn die Wärme für die Herstellung von Produkten in der Anlage verwendet wird: für jedes Produkt gemäß Anhang IV Ziffer 2.6 b) der Delegierten Verordnung (EU) 2019/331 die Menge an messbarer Wärme, die für seine Herstellung verwendet;
- im Falle von Wärme, die an eine Anlage oder andere Einrichtung exportiert wird, die nicht unter das EU-EHS fällt: die Menge an messbarer Wärme und die Prodcom-Codes 2010 und NACE-Codes Rev 2 der Produkte dieser Anlagen oder anderen Einrichtungen;</t>
  </si>
  <si>
    <t>Q_8_11</t>
  </si>
  <si>
    <t>PreliminaryActivityRequired</t>
  </si>
  <si>
    <t>Q_8_14</t>
  </si>
  <si>
    <t>ActivityReportRejected</t>
  </si>
  <si>
    <t>Q_8_16</t>
  </si>
  <si>
    <t>S08_VirtualVisitsActivityLevelDetail</t>
  </si>
  <si>
    <t>Q_9_1</t>
  </si>
  <si>
    <t>InstallationOperatorFees</t>
  </si>
  <si>
    <t>Q_9_2</t>
  </si>
  <si>
    <t>AircraftOperatorFees</t>
  </si>
  <si>
    <t>Q_10_1</t>
  </si>
  <si>
    <t>S10_InstallationsComplianceMeasures</t>
  </si>
  <si>
    <t>ComplianceMeasuresYesNo</t>
  </si>
  <si>
    <t>ComplianceMeasuresComment</t>
  </si>
  <si>
    <t>siehe 5.1</t>
  </si>
  <si>
    <t>Q_10_2</t>
  </si>
  <si>
    <t>S10_InstallationsInfringementPenalties</t>
  </si>
  <si>
    <t>MaxFine</t>
  </si>
  <si>
    <t>Q_10_4</t>
  </si>
  <si>
    <t>S10_InstallationPenalties</t>
  </si>
  <si>
    <t>OperatorName</t>
  </si>
  <si>
    <t>Carpenter GmbH</t>
  </si>
  <si>
    <t>Q_10_5</t>
  </si>
  <si>
    <t>S10_AircraftComplianceMeasures</t>
  </si>
  <si>
    <t>Q_10_6</t>
  </si>
  <si>
    <t>S10_AircraftInfringementPenalties</t>
  </si>
  <si>
    <t>Q_10_7</t>
  </si>
  <si>
    <t>AircraftPriorPenaltiesEnforced</t>
  </si>
  <si>
    <t>Q_10_8</t>
  </si>
  <si>
    <t>S10_AircraftPenalties</t>
  </si>
  <si>
    <t>Rossiya Airlines Joint-Stock-Company</t>
  </si>
  <si>
    <t>Atlasjet Airlines</t>
  </si>
  <si>
    <t>Reliance Commerical Dealers Ltd.</t>
  </si>
  <si>
    <t>Q_11_1</t>
  </si>
  <si>
    <t>LegalNatureOfEmissionAllowance</t>
  </si>
  <si>
    <t>Nach Finanzmarktrichtlinie 2014/65/EU (MiFID II) sind Emissionszertifikate als Finanzinstrumente definiert. Im Rahmen der im Jahr 2017 erfolgten nationalen Umsetzung (Zweites Finanzmarktnovellierungsgesetz - 2. FiMaNoG) wurden die entsprechenden rechtlichen Regelungen dahingehend überarbeitet, dass Emissionszertifikate gem. § 1 Abs. 11 Nr. 9 KWG und § 2 Abs. 4 Nr. 5 WpHG ab 3. Januar 2018 Finanzinstrumente sind und der Handel somit der Finanzmarktaufsicht unterliegt. § 7 Abs. 5 TEHG entfällt entsprechend.</t>
  </si>
  <si>
    <t>Q_11_2</t>
  </si>
  <si>
    <t>AccountingTreatmentOfEmissionAllowances</t>
  </si>
  <si>
    <t>Sowohl handels- als auch steuerrechtlich werden die Emissionsberechtigungen als immaterielle Wirtschaftsgüter dem Umlaufvermögen zugeordnet. Die unentgeltlich ausgegebenen Emissionsberechtigungen sind in der Steuerbilanz mit 0 Euro zu bewerten. In der Handelsbilanz ist ein Ansatz mit dem Erinnerungswert oder mit dem Zeitwert zulässig, wobei spiegelbildlich zum Zeitwertansatz eine Rücklage zu bilden ist. Sowohl der Ansatz in der Steuer- als auch in der Handelsbilanz erfolgt damit gewinnneutral. Entgeltlich erworbene Emissionsberechtigungen sind sowohl in der Steuer- als auch in der Handelsbilanz mit ihren Anschaffungskosten zu aktivieren.
Für die Abgabeverpflichtung ist eine Verbindlichkeit auszuweisen, soweit am Bilanzstichtag ausreichend Emissionsberechtigungen vorhanden sind. Insoweit bleibt die Abgabeverpflichtung erfolgsneutral. Stehen am Bilanzstichtag sowohl unentgeltlich als auch entgeltlich erworbene Emissionsberechtigungen zur Erfüllung der Abgabeverpflichtung zur Verfügung, ist die Verbrauchsfolge zu bestimmen. Ist die Verbrauchsfolge nicht feststellbar, ist davon auszugehen, dass zur Erfüllung der Abgabeverpflichtung zuerst die unentgeltlich (mit 0 Euro bewerteten) Emissionsberechtigungen eingesetzt werden.
In Höhe der noch fehlenden Emissionsberechtigungen ist eine Rückstellung für ungewisse Verbindlichkeiten mit den Einzelkosten (Wert von Emissionsberechtigungen am Bilanzstichtag) und den notwendigen Gemeinkosten am Bilanzstichtag anzusetzen. In dieser Höhe wirkt sich die Abgabeverpflichtung mindernd auf den Gewinn aus. Die handels- und steuerrechtlichen Regelungen führen zu den gleichen Gewinnauswirkungen.</t>
  </si>
  <si>
    <t>Q_11_3</t>
  </si>
  <si>
    <t>ReverseChargeMechanismEmissionAllowances</t>
  </si>
  <si>
    <t>Q_11_4</t>
  </si>
  <si>
    <t>EmissionAllowancesTaxed</t>
  </si>
  <si>
    <t>S11_TypeOfTaxRatesApplied</t>
  </si>
  <si>
    <t>TypeOfTax</t>
  </si>
  <si>
    <t>VAT (Umsatzsteuer)</t>
  </si>
  <si>
    <t>Corporate tax (trade tax, Gewerbesteuer)</t>
  </si>
  <si>
    <t>Corporate income tax (Körperschaftsteuer)</t>
  </si>
  <si>
    <t>Other Income tax (Einkommensteuer)</t>
  </si>
  <si>
    <t>TaxRateApplied</t>
  </si>
  <si>
    <t>19</t>
  </si>
  <si>
    <t>siehe Hinweis</t>
  </si>
  <si>
    <t>Q_12_1</t>
  </si>
  <si>
    <t>S12_FraudFreeAllocationOfAllowances</t>
  </si>
  <si>
    <t>DetailsOfProceduresInNationalLaw</t>
  </si>
  <si>
    <t>Keine gesonderten Regelungen.</t>
  </si>
  <si>
    <t>Ja</t>
  </si>
  <si>
    <t>Staatsanwaltschaft</t>
  </si>
  <si>
    <t>Geldstrafe oder Freiheitsstraße bis zu fünf Jahren gemäß § 263 StGB. Die Strafzumessung erfolgt nach den allgemeinen Regeln des StGB.</t>
  </si>
  <si>
    <t>Q_12_2</t>
  </si>
  <si>
    <t>S12_CompetentAuthoritiesAwareOfFraud</t>
  </si>
  <si>
    <t>DetailsOfArrangementsAndProcedures</t>
  </si>
  <si>
    <t xml:space="preserve">Keine gesonderten Regelungen. Zuständig für die Strafverfolgung sind die Bundesländer. Eine Information erfolgt zuverlässig nur, wenn die Strafermittlungsbehörden Informationen der DEHSt benötigen.  </t>
  </si>
  <si>
    <t>s.o.</t>
  </si>
  <si>
    <t>Q_13_1</t>
  </si>
  <si>
    <t>S13_AnyOtherIssues</t>
  </si>
  <si>
    <t>OtherInformationOrIssues</t>
  </si>
  <si>
    <t>Es wird darauf hingewiesen, dass die Emissionsberichtsprüfung 2022 für das Berichtsjahr 2021 noch nicht abgeschlossen ist und daher etwaige notwendige Korrekturen der Emissionsberichte noch nicht vorgenommen wurden. 
Zur Beantwortung der Fragen 5.5 wurden in Fällen von kontinuierlicher Emissionsmessung (KEMS) in Anlagen die notwendigen Angaben zu den Stoffströmen aus den Angaben für die flankierende Berechnung entnommen (Hinweis: flankierende Berechnung ist gemäß MVO nicht in allen Fällen erforderlich). Für alle anderen Fragen wurde auf die Angaben zu KEMS und nicht auf die flankierenden Stoffströme abgestellt. Dies ist methodisch begründet, um Doppelzählungen zu vermeiden.</t>
  </si>
  <si>
    <t xml:space="preserve">Die Einordnung der Anlagen in die Kategorien A, B und C wurde auf Basis der eingetragenen verifizierten Emissionen im Unionsregister vorgenommen. Diese Einordnung kann in Einzelfällen nicht mit den im Überwachungsplan genehmigten Kategorien übereinstimmen. </t>
  </si>
  <si>
    <t xml:space="preserve">Nach nationalem Recht ermöglichen die Genehmigungsbehörden der Länder, dass die DEHSt bei einer Änderungsgenehmigung Stellung nimmt (siehe 4.1). Allerdings sind nicht in jedem Fall die Änderungsgenehmigungen für den Emissionshandel relevant. Die angegebene Zahl von 62 Fällen gibt daher nur wieder, in wie vielen Fällen die DEHSt eine Stellungnahme abgegeben hat. </t>
  </si>
  <si>
    <t>Die Kategorie „Sonstige fossile Brennstoffe“ enthält auch fossile Anteile in Biomasse. Des Weiteren ist zu beachten, dass in den Fällen, in denen der Anlagenbetreiber auf Basis eines masse- oder volumenbezogenen Emissionsfaktors in tCO2/t oder tCO2/Nm3 oder einen Stoff in einer Massenbilanz berichtet, fehlende Heizwerte von der zuständigen Behörde für die Spalte „Gesamter Brennstoffverbrauch (TJ)“  geschätzt wurde. Für diese Schätzung des Heizwerts wird für einen Stoffstrom, für den ein Standardwert vorhanden ist (entweder aus der nationalen Liste gemäß Art. 31 (1) c) MVO oder gemäß Anhang VI MVO), dieser als Schätzwert verwendet. Ist kein Standardwert vorhanden, wird der Jahresmittelwerte aus den berichteten Werten für den entsprechenden Stoffstrom angesetzt.</t>
  </si>
  <si>
    <t xml:space="preserve">Grundsätzlich werden die Angaben der Anlagenbetreiber herangezogen. Die Anlagenbetreiber ordnen die CRF-Kategorie/n der in einer Anlage durchgeführten Tätigkeit nach Anhang I der Richtlinie 2003/87/EG und nicht den einzelnen Stoffströmen zu. Jedem Stoffstrom wird ein Energie- bzw. ein Prozess-CRF-Code auf Basis folgender Stoffstrom-Angaben des Anlagenbetreibers zugeordnet: Tätigkeit/Stoffstromtyp nach Anhang II Tabelle 1 MVO, Methodik der Berechnung der Emissionen für den angelegten Stoffstrom nach Art. 24 oder Art. 25 MVO (Emissionen aus der Verbrennung, Prozessemissionen, Emissionen nach Massenbilanzmethodik) und Angabe, ob der Stoffstrom als Brennstoff eingesetzt wurde oder nicht. Zusätzlich werden bei einigen Stoffströmen Kenntnisse der Inventarexperten herangezogen und Stoffströme manuell abweichend von der Betreiberangabe einer sinnvollen CRF-Kategorie zugeordnet. 
In Deutschland werden die CRF-Kategorie 1A2f und 2B8 in mehrere Unterkategorien eingeteilt (z.B. Zement „1A2f(b)“, Herstellung von Industrieruß „2B8f“). Diese Kategorisierung steht in REPORTNET nicht zur Verfügung, daher werden die CRF-Kategorien 1A2f(a) bis 1A2f(d) unter 1A2f und 2B8a bis 2B8g unter 2B8 zusammengefasst. </t>
  </si>
  <si>
    <t xml:space="preserve">Bei Stoffströmen, deren Emissionen auf Basis von Standardwerten für mehr als einen Berechnungsfaktor ermittelt werden, geht dieser Stoffstrom mit 1 in die Anzahl der Anlagen ein, die für diesen Stoffstrom Standardwerte nutzen. </t>
  </si>
  <si>
    <t xml:space="preserve">Die Abweichung von der geforderten Analysehäufigkeit nach Anhang VII MVO ist in unserer IT-Anwendung nicht systematisch auswertbar, da es sich nicht um eine Ebenenabweichung handelt. Es ist geplant, diese Auswertung mit der Einführung der neuen IT-Anwendung für die Datenerfassung in den nächsten Jahren zu ermöglichen. </t>
  </si>
  <si>
    <t xml:space="preserve">Die Anzahl emissionsstarker Stoffströme in Anlagen der Kategorie C beträgt 698. </t>
  </si>
  <si>
    <t xml:space="preserve">5.10: Die Anzahl emissionsstarker Stoffströme in Anlagen der Kategorie B beträgt 1047. </t>
  </si>
  <si>
    <t>Verbesserungsberichte gemäß Art. 69 Abs. 2 MVO: Ein Verbesserungsbericht ist in diesen Fällen aus Sicht der DEHSt nicht erforderlich. 
Rein formale Ebenenabweichungen, z.B. wegen der Verwendung eines konservativen, stöchiometrischen Werts (Ebene 1) statt Analyse (Ebene 3) für den C-Gehalt oder wegen der Verwendung eines Umsetzungsfaktors von 1 (Ebene 1) statt Analyse (Ebene 2).
Ebenenabweichung bei der Mengenmessung von Kuppelgasen, da es sich um eine Weiterleitung von einer emissionshandelspflichtigen Anlage an eine andere emissionshandelspflichtige Anlage handelt und eine beiderseitig akzeptierte Weiterleitungsmenge nach (vgl. Art. 48 (3) Unterabsatz 2 und 3 MVO) bestimmt wurde. Damit werden Emissionen, die bei der weiterleitenden Anlage ggf. zu viel abgezogen werden, vom Empfänger berichtet und dafür Emissionsberechtigungen abgegeben. 
Ein neuer, überarbeiteter Überwachungsplan wurde eingereicht, in dem die Verbesserungen umgesetzt wurden.
Stilllegung der Anlage bzw. die Anlage ist nicht in Betrieb.
Ebenenabweichung wurde mit Nachweis der Unverhältnismäßigkeit bis zu einem bestimmten Zeitpunkt genehmigt, da Messgerät nur im Rahmen einer Großrevision nachgerüstet werden kann.
Verbesserungsberichte gemäß Art. 69 Abs. 4 MVO: Die Auswertungsmöglichkeiten sind begrenzt. Folgender Überblick kann gegeben werden:
Im Rahmen der Verifizierung der Emissionsberichte wurde von den Prüfstellen in ca. 275 Fällen die Frage, ob Verbesserungspotenzial identifiziert werden konnte mit „ja“ beantwortet. 
In ungefähr 100 Fällen wurde von den Prüfstellen die Frage, ob Nichtkonformitäten mit dem genehmigten Überwachungsplan festgestellt wurden, mit „ja“ beantwortet. Dabei handelt es sich jedoch v.a. um Hinweise zu nicht wesentlichen Nichtkonformitäten, noch nicht genehmigten, aber bei der DEHSt schon eingereichten Überwachungsplänen oder um Hinweise zu einer konservativen Vorgehensweise des Anlagenbetreibers.</t>
  </si>
  <si>
    <t>CORSIA-Flüge mit Emissionsfaktor 3,15; Dies bedeutet, dass die Daten unterscheiden sich von denen, die DE an ICAO übermitteln.</t>
  </si>
  <si>
    <t>Die Prüfung der Emissionsberichte für das Jahr 2021 ist noch nicht abgeschlossen. Ob und in wie vielen Fällen konservative Schätzungen gemäß Art. 70 (1) der Verordnung (EU) Nr. 2018/2066 erforderlich sind, kann erst am Ende des Prüfverfahrens nach Anhörung der betroffenen Betreiber und Bewertung ihrer Reaktionen beantwortet werden.</t>
  </si>
  <si>
    <t>Die Prüfung der Emissionsberichte für das Jahr 2021 durch die DEHSt ist noch nicht abgeschlossen. Inwiefern die Angaben im Prüfbericht relevant sind, kann erst nach Abschluss dieser Prüfung beantwortet werden.</t>
  </si>
  <si>
    <t>1. und 2. Zeile: 100% der Emissionsberichte durchläuft die zentrale elektronische Prüfung. Diese geht über Vollständigkeit und Konsistenz weit hinaus, sie umfasst auch einen standardisierten Abgleich mit dem Überwachungsplan. Zeile 5: Aufgrund der aktuellen Arbeitsbelastung durch den Beginn der 4. Handelsperiode wurden keine zentralen Vorgaben an die Fachgebiete adressiert, sondern nur die aus der zentralen elektronischen Vorprüfung als auffällig markierten Emissionsberichte zur vertieften Prüfung weitergereicht. Deren Auswertung lag zum Zeitpunkt des Berichts noch nicht vor. 
Zeile 7 und 8: Eine grundsätzliche Ablehnung von Emissionsberichten erfolgt nicht. Vor der konservativen Schätzung erhält jeder Betreiber die Möglichkeit der Selbstkorrektur, die dann durch die DEHSt nochmals geprüft wird. Eine Schätzung der Emissionen durch die DEHSt erfolgt nur in Ausnahmefällen.</t>
  </si>
  <si>
    <t>Das ist die Anzahl der Anlagen, bei denen auf eine Standortbegehung durch die Prüfstellen verzichtet wurde.</t>
  </si>
  <si>
    <t>Die Auswertung konnte dieses Jahr nicht vorgenommen werden.</t>
  </si>
  <si>
    <t xml:space="preserve">Eine Antwort für jede Aktivität mit Untergliederung ist in diesem Jahr nicht möglich.  Bitte sehen Sie das zusätzlich angehängte Dokument. </t>
  </si>
  <si>
    <t>Die Nutzungsbedingungen stehen auf der Website, auf der die Kontoeröffnung erläutert ist und gelten durch Kontoanmeldung ohne Unterschrift (Allgemeinverfügung). Zusätzliches Dokument (pdf) der Nutzungsbedingungen wird dem Upload angehängt.</t>
  </si>
  <si>
    <t>Die Prüfung der Zuteilungsdatenberichte für das Jahr 2021 hat noch nicht begonnen. Ob und in wie vielen Fällen ein Testat nicht erteilt wurde, kann erst nach Import der Zuteilungsdatenberichte in die Datenbank beantwortet werden.</t>
  </si>
  <si>
    <t>Die Prüfung der Zuteilungsdatenberichte für das Jahr 2021 durch die DEHSt hat noch nicht begonnen/ist noch nicht abgeschlossen. Inwiefern die Angaben im Prüfbericht relevant sind, kann erst nach Abschluss dieser Prüfung beantwortet werden.</t>
  </si>
  <si>
    <t xml:space="preserve">Die Auswertung konnte dieses Jahr nicht vorgenommen werden. </t>
  </si>
  <si>
    <t>Es sind keine Bußgeldtatbestände gegen Zuteilungsverstöße im TEHG/EHV 2030 erfasst</t>
  </si>
  <si>
    <t>Bezieht sich auf Verstöße nach Frage 8.17, daher keine Bußgelder</t>
  </si>
  <si>
    <t>Nach der geltenden Gesetzeslage ist eine Gebührenerhebung von Betreibern für die Tätigkeiten der DEHSt aktuell nicht vorgesehen. Die zuständigen Landesbehörden erheben für die Erteilung von Genehmigungen Gebühren (siehe Kapitel 2.2). Genauere Informationen hierzu liegen der DEHSt jedoch nicht vor.</t>
  </si>
  <si>
    <t>Die DEHSt erhebt Gebühren von Kontoinhabern nur für die Verwaltung von Personen- und Händlerkonten im Emissionshandelsregister, nicht von den Betreibern.</t>
  </si>
  <si>
    <t>Keine rechtskräftigen Ordnungswidrigkeitsverfahren in 2021.</t>
  </si>
  <si>
    <t>Im Rahmen der kostenlosen Zuteilung wird keine Mehrwertsteuer erhoben. Aber die Transaktionen auf dem Sekundärmarkt unterliegen der Mehrwertsteuer.</t>
  </si>
  <si>
    <t>Der Gewinn und Verlust, der aus dem Handel mit Emissionsberechtigungen entsteht, ist im Rahmen der Einkommensteuer oder Körperschaftsteuer (je nach Rechtsform des Unternehmens) und der Gewerbesteuer steuerpflichtig.
Trade tax (Gewerbesteuer): Durchschnittlich ca. 14% (abhängig vom Hebesatz der Betriebsstättenkommune)
Corporate income tax (Körperschaftsteuer): 15% zuzüglich Solidaritätszuschlag
Other Income tax (Einkommensteuer): Individueller Einkommensteuersatz zuzüglich Solidaritätszuschlag</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</si>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</sst>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2633"/>
  <sheetViews>
    <sheetView topLeftCell="A2605" workbookViewId="0">
      <selection activeCell="B2633" sqref="B2633"/>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1</v>
      </c>
      <c r="E11" t="s">
        <v>1447</v>
      </c>
      <c r="F11" t="s">
        <v>1817</v>
      </c>
      <c r="G11" t="s">
        <v>1797</v>
      </c>
      <c r="H11" t="s">
        <v>1818</v>
      </c>
      <c r="I11" t="s">
        <v>1799</v>
      </c>
      <c r="J11" t="s">
        <v>1799</v>
      </c>
      <c r="K11" t="s">
        <v>1799</v>
      </c>
      <c r="L11" t="s">
        <v>1799</v>
      </c>
      <c r="M11" t="s">
        <v>1799</v>
      </c>
      <c r="N11" t="s">
        <v>1799</v>
      </c>
      <c r="O11" s="184" t="str">
        <f>"["&amp;$C11&amp;"]["&amp;$D11&amp;"]["&amp;$F11&amp;"]"</f>
        <v>[S02_CompetentAuthority][1][CAAbbreviation]</v>
      </c>
    </row>
    <row r="12" spans="1:18" x14ac:dyDescent="0.3">
      <c r="A12" t="s">
        <v>1793</v>
      </c>
      <c r="B12" t="s">
        <v>1812</v>
      </c>
      <c r="C12" t="s">
        <v>1813</v>
      </c>
      <c r="D12">
        <v>2</v>
      </c>
      <c r="E12" t="s">
        <v>1447</v>
      </c>
      <c r="F12" t="s">
        <v>1817</v>
      </c>
      <c r="G12" t="s">
        <v>1797</v>
      </c>
      <c r="H12" t="s">
        <v>1819</v>
      </c>
      <c r="I12" t="s">
        <v>1799</v>
      </c>
      <c r="J12" t="s">
        <v>1799</v>
      </c>
      <c r="K12" t="s">
        <v>1799</v>
      </c>
      <c r="L12" t="s">
        <v>1799</v>
      </c>
      <c r="M12" t="s">
        <v>1799</v>
      </c>
      <c r="N12" t="s">
        <v>1799</v>
      </c>
      <c r="O12" s="184" t="str">
        <f>"["&amp;$C12&amp;"]["&amp;$D12&amp;"]["&amp;$F12&amp;"]"</f>
        <v>[S02_CompetentAuthority][2][CAAbbreviation]</v>
      </c>
    </row>
    <row r="13" spans="1:18" x14ac:dyDescent="0.3">
      <c r="A13" t="s">
        <v>1793</v>
      </c>
      <c r="B13" t="s">
        <v>1812</v>
      </c>
      <c r="C13" t="s">
        <v>1813</v>
      </c>
      <c r="D13">
        <v>1</v>
      </c>
      <c r="E13" t="s">
        <v>1447</v>
      </c>
      <c r="F13" t="s">
        <v>1820</v>
      </c>
      <c r="G13" t="s">
        <v>1797</v>
      </c>
      <c r="H13" t="s">
        <v>1422</v>
      </c>
      <c r="I13" t="s">
        <v>1799</v>
      </c>
      <c r="J13" t="s">
        <v>1799</v>
      </c>
      <c r="K13" t="s">
        <v>1799</v>
      </c>
      <c r="L13" t="s">
        <v>1799</v>
      </c>
      <c r="M13" t="s">
        <v>1799</v>
      </c>
      <c r="N13" t="s">
        <v>1799</v>
      </c>
      <c r="O13" s="184" t="str">
        <f>"["&amp;$C13&amp;"]["&amp;$D13&amp;"]["&amp;$F13&amp;"]"</f>
        <v>[S02_CompetentAuthority][1][CAType]</v>
      </c>
    </row>
    <row r="14" spans="1:18" x14ac:dyDescent="0.3">
      <c r="A14" t="s">
        <v>1793</v>
      </c>
      <c r="B14" t="s">
        <v>1812</v>
      </c>
      <c r="C14" t="s">
        <v>1813</v>
      </c>
      <c r="D14">
        <v>2</v>
      </c>
      <c r="E14" t="s">
        <v>1447</v>
      </c>
      <c r="F14" t="s">
        <v>1820</v>
      </c>
      <c r="G14" t="s">
        <v>1797</v>
      </c>
      <c r="H14" t="s">
        <v>1450</v>
      </c>
      <c r="I14" t="s">
        <v>1799</v>
      </c>
      <c r="J14" t="s">
        <v>1799</v>
      </c>
      <c r="K14" t="s">
        <v>1799</v>
      </c>
      <c r="L14" t="s">
        <v>1799</v>
      </c>
      <c r="M14" t="s">
        <v>1799</v>
      </c>
      <c r="N14" t="s">
        <v>1799</v>
      </c>
      <c r="O14" s="184" t="str">
        <f>"["&amp;$C14&amp;"]["&amp;$D14&amp;"]["&amp;$F14&amp;"]"</f>
        <v>[S02_CompetentAuthority][2][CAType]</v>
      </c>
    </row>
    <row r="15" spans="1:18" x14ac:dyDescent="0.3">
      <c r="A15" t="s">
        <v>1793</v>
      </c>
      <c r="B15" t="s">
        <v>1812</v>
      </c>
      <c r="C15" t="s">
        <v>1813</v>
      </c>
      <c r="D15">
        <v>1</v>
      </c>
      <c r="E15" t="s">
        <v>1447</v>
      </c>
      <c r="F15" t="s">
        <v>1821</v>
      </c>
      <c r="G15" t="s">
        <v>1797</v>
      </c>
      <c r="H15" t="s">
        <v>1822</v>
      </c>
      <c r="I15" t="s">
        <v>1799</v>
      </c>
      <c r="J15" t="s">
        <v>1799</v>
      </c>
      <c r="K15" t="s">
        <v>1799</v>
      </c>
      <c r="L15" t="s">
        <v>1799</v>
      </c>
      <c r="M15" t="s">
        <v>1799</v>
      </c>
      <c r="N15" t="s">
        <v>1799</v>
      </c>
      <c r="O15" s="184" t="str">
        <f>"["&amp;$C15&amp;"]["&amp;$D15&amp;"]["&amp;$F15&amp;"]"</f>
        <v>[S02_CompetentAuthority][1][CATelephone]</v>
      </c>
    </row>
    <row r="16" spans="1:18" x14ac:dyDescent="0.3">
      <c r="A16" t="s">
        <v>1793</v>
      </c>
      <c r="B16" t="s">
        <v>1812</v>
      </c>
      <c r="C16" t="s">
        <v>1813</v>
      </c>
      <c r="D16">
        <v>1</v>
      </c>
      <c r="E16" t="s">
        <v>1447</v>
      </c>
      <c r="F16" t="s">
        <v>1823</v>
      </c>
      <c r="G16" t="s">
        <v>1797</v>
      </c>
      <c r="H16" t="s">
        <v>1824</v>
      </c>
      <c r="I16" t="s">
        <v>1799</v>
      </c>
      <c r="J16" t="s">
        <v>1799</v>
      </c>
      <c r="K16" t="s">
        <v>1799</v>
      </c>
      <c r="L16" t="s">
        <v>1799</v>
      </c>
      <c r="M16" t="s">
        <v>1799</v>
      </c>
      <c r="N16" t="s">
        <v>1799</v>
      </c>
      <c r="O16" s="184" t="str">
        <f>"["&amp;$C16&amp;"]["&amp;$D16&amp;"]["&amp;$F16&amp;"]"</f>
        <v>[S02_CompetentAuthority][1][CAEmail]</v>
      </c>
    </row>
    <row r="17" spans="1:15" x14ac:dyDescent="0.3">
      <c r="A17" t="s">
        <v>1793</v>
      </c>
      <c r="B17" t="s">
        <v>1812</v>
      </c>
      <c r="C17" t="s">
        <v>1825</v>
      </c>
      <c r="D17">
        <v>0</v>
      </c>
      <c r="E17" t="s">
        <v>1447</v>
      </c>
      <c r="F17" t="s">
        <v>1825</v>
      </c>
      <c r="G17" t="s">
        <v>1826</v>
      </c>
      <c r="H17" t="s">
        <v>1799</v>
      </c>
      <c r="I17" t="s">
        <v>1799</v>
      </c>
      <c r="J17" t="s">
        <v>1799</v>
      </c>
      <c r="K17" t="s">
        <v>1799</v>
      </c>
      <c r="L17" t="s">
        <v>1419</v>
      </c>
      <c r="M17" t="s">
        <v>1799</v>
      </c>
      <c r="N17" t="s">
        <v>1799</v>
      </c>
      <c r="O17" s="184" t="str">
        <f>"["&amp;$C17&amp;"]["&amp;$D17&amp;"]["&amp;$F17&amp;"]"</f>
        <v>[S02_AccreditationBodyYesNo][0][S02_AccreditationBodyYesNo]</v>
      </c>
    </row>
    <row r="18" spans="1:15" x14ac:dyDescent="0.3">
      <c r="A18" t="s">
        <v>1793</v>
      </c>
      <c r="B18" t="s">
        <v>1812</v>
      </c>
      <c r="C18" t="s">
        <v>1827</v>
      </c>
      <c r="D18">
        <v>1</v>
      </c>
      <c r="E18" t="s">
        <v>1447</v>
      </c>
      <c r="F18" t="s">
        <v>1828</v>
      </c>
      <c r="G18" t="s">
        <v>1797</v>
      </c>
      <c r="H18" t="s">
        <v>1829</v>
      </c>
      <c r="I18" t="s">
        <v>1799</v>
      </c>
      <c r="J18" t="s">
        <v>1799</v>
      </c>
      <c r="K18" t="s">
        <v>1799</v>
      </c>
      <c r="L18" t="s">
        <v>1799</v>
      </c>
      <c r="M18" t="s">
        <v>1799</v>
      </c>
      <c r="N18" t="s">
        <v>1799</v>
      </c>
      <c r="O18" s="184" t="str">
        <f>"["&amp;$C18&amp;"]["&amp;$D18&amp;"]["&amp;$F18&amp;"]"</f>
        <v>[S02_AccreditationBody][1][AccBodyName]</v>
      </c>
    </row>
    <row r="19" spans="1:15" x14ac:dyDescent="0.3">
      <c r="A19" t="s">
        <v>1793</v>
      </c>
      <c r="B19" t="s">
        <v>1812</v>
      </c>
      <c r="C19" t="s">
        <v>1827</v>
      </c>
      <c r="D19">
        <v>1</v>
      </c>
      <c r="E19" t="s">
        <v>1447</v>
      </c>
      <c r="F19" t="s">
        <v>1830</v>
      </c>
      <c r="G19" t="s">
        <v>1797</v>
      </c>
      <c r="H19" t="s">
        <v>1831</v>
      </c>
      <c r="I19" t="s">
        <v>1799</v>
      </c>
      <c r="J19" t="s">
        <v>1799</v>
      </c>
      <c r="K19" t="s">
        <v>1799</v>
      </c>
      <c r="L19" t="s">
        <v>1799</v>
      </c>
      <c r="M19" t="s">
        <v>1799</v>
      </c>
      <c r="N19" t="s">
        <v>1799</v>
      </c>
      <c r="O19" s="184" t="str">
        <f>"["&amp;$C19&amp;"]["&amp;$D19&amp;"]["&amp;$F19&amp;"]"</f>
        <v>[S02_AccreditationBody][1][AccBodyAbbreviation]</v>
      </c>
    </row>
    <row r="20" spans="1:15" x14ac:dyDescent="0.3">
      <c r="A20" t="s">
        <v>1793</v>
      </c>
      <c r="B20" t="s">
        <v>1812</v>
      </c>
      <c r="C20" t="s">
        <v>1827</v>
      </c>
      <c r="D20">
        <v>1</v>
      </c>
      <c r="E20" t="s">
        <v>1447</v>
      </c>
      <c r="F20" t="s">
        <v>1832</v>
      </c>
      <c r="G20" t="s">
        <v>1797</v>
      </c>
      <c r="H20" t="s">
        <v>1833</v>
      </c>
      <c r="I20" t="s">
        <v>1799</v>
      </c>
      <c r="J20" t="s">
        <v>1799</v>
      </c>
      <c r="K20" t="s">
        <v>1799</v>
      </c>
      <c r="L20" t="s">
        <v>1799</v>
      </c>
      <c r="M20" t="s">
        <v>1799</v>
      </c>
      <c r="N20" t="s">
        <v>1799</v>
      </c>
      <c r="O20" s="184" t="str">
        <f>"["&amp;$C20&amp;"]["&amp;$D20&amp;"]["&amp;$F20&amp;"]"</f>
        <v>[S02_AccreditationBody][1][AccBodyTelephone]</v>
      </c>
    </row>
    <row r="21" spans="1:15" x14ac:dyDescent="0.3">
      <c r="A21" t="s">
        <v>1793</v>
      </c>
      <c r="B21" t="s">
        <v>1812</v>
      </c>
      <c r="C21" t="s">
        <v>1827</v>
      </c>
      <c r="D21">
        <v>1</v>
      </c>
      <c r="E21" t="s">
        <v>1447</v>
      </c>
      <c r="F21" t="s">
        <v>1834</v>
      </c>
      <c r="G21" t="s">
        <v>1797</v>
      </c>
      <c r="H21" t="s">
        <v>1835</v>
      </c>
      <c r="I21" t="s">
        <v>1799</v>
      </c>
      <c r="J21" t="s">
        <v>1799</v>
      </c>
      <c r="K21" t="s">
        <v>1799</v>
      </c>
      <c r="L21" t="s">
        <v>1799</v>
      </c>
      <c r="M21" t="s">
        <v>1799</v>
      </c>
      <c r="N21" t="s">
        <v>1799</v>
      </c>
      <c r="O21" s="184" t="str">
        <f>"["&amp;$C21&amp;"]["&amp;$D21&amp;"]["&amp;$F21&amp;"]"</f>
        <v>[S02_AccreditationBody][1][AccBodyEmail]</v>
      </c>
    </row>
    <row r="22" spans="1:15" x14ac:dyDescent="0.3">
      <c r="A22" t="s">
        <v>1793</v>
      </c>
      <c r="B22" t="s">
        <v>1812</v>
      </c>
      <c r="C22" t="s">
        <v>1827</v>
      </c>
      <c r="D22">
        <v>1</v>
      </c>
      <c r="E22" t="s">
        <v>1447</v>
      </c>
      <c r="F22" t="s">
        <v>1836</v>
      </c>
      <c r="G22" t="s">
        <v>1797</v>
      </c>
      <c r="H22" t="s">
        <v>1837</v>
      </c>
      <c r="I22" t="s">
        <v>1799</v>
      </c>
      <c r="J22" t="s">
        <v>1799</v>
      </c>
      <c r="K22" t="s">
        <v>1799</v>
      </c>
      <c r="L22" t="s">
        <v>1799</v>
      </c>
      <c r="M22" t="s">
        <v>1799</v>
      </c>
      <c r="N22" t="s">
        <v>1799</v>
      </c>
      <c r="O22" s="184" t="str">
        <f>"["&amp;$C22&amp;"]["&amp;$D22&amp;"]["&amp;$F22&amp;"]"</f>
        <v>[S02_AccreditationBody][1][AccBodyWebsite]</v>
      </c>
    </row>
    <row r="23" spans="1:15" x14ac:dyDescent="0.3">
      <c r="A23" t="s">
        <v>1793</v>
      </c>
      <c r="B23" t="s">
        <v>1812</v>
      </c>
      <c r="C23" t="s">
        <v>1838</v>
      </c>
      <c r="D23">
        <v>0</v>
      </c>
      <c r="E23" t="s">
        <v>1447</v>
      </c>
      <c r="F23" t="s">
        <v>1838</v>
      </c>
      <c r="G23" t="s">
        <v>1826</v>
      </c>
      <c r="H23" t="s">
        <v>1799</v>
      </c>
      <c r="I23" t="s">
        <v>1799</v>
      </c>
      <c r="J23" t="s">
        <v>1799</v>
      </c>
      <c r="K23" t="s">
        <v>1799</v>
      </c>
      <c r="L23" t="s">
        <v>1419</v>
      </c>
      <c r="M23" t="s">
        <v>1799</v>
      </c>
      <c r="N23" t="s">
        <v>1799</v>
      </c>
      <c r="O23" s="184" t="str">
        <f>"["&amp;$C23&amp;"]["&amp;$D23&amp;"]["&amp;$F23&amp;"]"</f>
        <v>[CertificationBodySetUp][0][CertificationBodySetUp]</v>
      </c>
    </row>
    <row r="24" spans="1:15" x14ac:dyDescent="0.3">
      <c r="A24" t="s">
        <v>1793</v>
      </c>
      <c r="B24" t="s">
        <v>1812</v>
      </c>
      <c r="C24" t="s">
        <v>1839</v>
      </c>
      <c r="D24">
        <v>1</v>
      </c>
      <c r="E24" t="s">
        <v>1447</v>
      </c>
      <c r="F24" t="s">
        <v>1840</v>
      </c>
      <c r="G24" t="s">
        <v>1797</v>
      </c>
      <c r="H24" t="s">
        <v>1841</v>
      </c>
      <c r="I24" t="s">
        <v>1799</v>
      </c>
      <c r="J24" t="s">
        <v>1799</v>
      </c>
      <c r="K24" t="s">
        <v>1799</v>
      </c>
      <c r="L24" t="s">
        <v>1799</v>
      </c>
      <c r="M24" t="s">
        <v>1799</v>
      </c>
      <c r="N24" t="s">
        <v>1799</v>
      </c>
      <c r="O24" s="184" t="str">
        <f>"["&amp;$C24&amp;"]["&amp;$D24&amp;"]["&amp;$F24&amp;"]"</f>
        <v>[S02_CertificationAuthExistsDetails][1][CertAuthName]</v>
      </c>
    </row>
    <row r="25" spans="1:15" x14ac:dyDescent="0.3">
      <c r="A25" t="s">
        <v>1793</v>
      </c>
      <c r="B25" t="s">
        <v>1812</v>
      </c>
      <c r="C25" t="s">
        <v>1839</v>
      </c>
      <c r="D25">
        <v>1</v>
      </c>
      <c r="E25" t="s">
        <v>1447</v>
      </c>
      <c r="F25" t="s">
        <v>1842</v>
      </c>
      <c r="G25" t="s">
        <v>1797</v>
      </c>
      <c r="H25" t="s">
        <v>1843</v>
      </c>
      <c r="I25" t="s">
        <v>1799</v>
      </c>
      <c r="J25" t="s">
        <v>1799</v>
      </c>
      <c r="K25" t="s">
        <v>1799</v>
      </c>
      <c r="L25" t="s">
        <v>1799</v>
      </c>
      <c r="M25" t="s">
        <v>1799</v>
      </c>
      <c r="N25" t="s">
        <v>1799</v>
      </c>
      <c r="O25" s="184" t="str">
        <f>"["&amp;$C25&amp;"]["&amp;$D25&amp;"]["&amp;$F25&amp;"]"</f>
        <v>[S02_CertificationAuthExistsDetails][1][CertAuthAbbreviation]</v>
      </c>
    </row>
    <row r="26" spans="1:15" x14ac:dyDescent="0.3">
      <c r="A26" t="s">
        <v>1793</v>
      </c>
      <c r="B26" t="s">
        <v>1812</v>
      </c>
      <c r="C26" t="s">
        <v>1839</v>
      </c>
      <c r="D26">
        <v>1</v>
      </c>
      <c r="E26" t="s">
        <v>1447</v>
      </c>
      <c r="F26" t="s">
        <v>1844</v>
      </c>
      <c r="G26" t="s">
        <v>1797</v>
      </c>
      <c r="H26" t="s">
        <v>1845</v>
      </c>
      <c r="I26" t="s">
        <v>1799</v>
      </c>
      <c r="J26" t="s">
        <v>1799</v>
      </c>
      <c r="K26" t="s">
        <v>1799</v>
      </c>
      <c r="L26" t="s">
        <v>1799</v>
      </c>
      <c r="M26" t="s">
        <v>1799</v>
      </c>
      <c r="N26" t="s">
        <v>1799</v>
      </c>
      <c r="O26" s="184" t="str">
        <f>"["&amp;$C26&amp;"]["&amp;$D26&amp;"]["&amp;$F26&amp;"]"</f>
        <v>[S02_CertificationAuthExistsDetails][1][CertAuthTelephone]</v>
      </c>
    </row>
    <row r="27" spans="1:15" x14ac:dyDescent="0.3">
      <c r="A27" t="s">
        <v>1793</v>
      </c>
      <c r="B27" t="s">
        <v>1812</v>
      </c>
      <c r="C27" t="s">
        <v>1839</v>
      </c>
      <c r="D27">
        <v>1</v>
      </c>
      <c r="E27" t="s">
        <v>1447</v>
      </c>
      <c r="F27" t="s">
        <v>1846</v>
      </c>
      <c r="G27" t="s">
        <v>1797</v>
      </c>
      <c r="H27" t="s">
        <v>1847</v>
      </c>
      <c r="I27" t="s">
        <v>1799</v>
      </c>
      <c r="J27" t="s">
        <v>1799</v>
      </c>
      <c r="K27" t="s">
        <v>1799</v>
      </c>
      <c r="L27" t="s">
        <v>1799</v>
      </c>
      <c r="M27" t="s">
        <v>1799</v>
      </c>
      <c r="N27" t="s">
        <v>1799</v>
      </c>
      <c r="O27" s="184" t="str">
        <f>"["&amp;$C27&amp;"]["&amp;$D27&amp;"]["&amp;$F27&amp;"]"</f>
        <v>[S02_CertificationAuthExistsDetails][1][CertAuthEmail]</v>
      </c>
    </row>
    <row r="28" spans="1:15" x14ac:dyDescent="0.3">
      <c r="A28" t="s">
        <v>1793</v>
      </c>
      <c r="B28" t="s">
        <v>1812</v>
      </c>
      <c r="C28" t="s">
        <v>1839</v>
      </c>
      <c r="D28">
        <v>1</v>
      </c>
      <c r="E28" t="s">
        <v>1447</v>
      </c>
      <c r="F28" t="s">
        <v>1848</v>
      </c>
      <c r="G28" t="s">
        <v>1797</v>
      </c>
      <c r="H28" t="s">
        <v>1849</v>
      </c>
      <c r="I28" t="s">
        <v>1799</v>
      </c>
      <c r="J28" t="s">
        <v>1799</v>
      </c>
      <c r="K28" t="s">
        <v>1799</v>
      </c>
      <c r="L28" t="s">
        <v>1799</v>
      </c>
      <c r="M28" t="s">
        <v>1799</v>
      </c>
      <c r="N28" t="s">
        <v>1799</v>
      </c>
      <c r="O28" s="184" t="str">
        <f>"["&amp;$C28&amp;"]["&amp;$D28&amp;"]["&amp;$F28&amp;"]"</f>
        <v>[S02_CertificationAuthExistsDetails][1][CertAuthWebsite]</v>
      </c>
    </row>
    <row r="29" spans="1:15" x14ac:dyDescent="0.3">
      <c r="A29" t="s">
        <v>1793</v>
      </c>
      <c r="B29" t="s">
        <v>1812</v>
      </c>
      <c r="C29" t="s">
        <v>1850</v>
      </c>
      <c r="D29">
        <v>1</v>
      </c>
      <c r="E29" t="s">
        <v>1447</v>
      </c>
      <c r="F29" t="s">
        <v>1851</v>
      </c>
      <c r="G29" t="s">
        <v>1797</v>
      </c>
      <c r="H29" t="s">
        <v>1815</v>
      </c>
      <c r="I29" t="s">
        <v>1799</v>
      </c>
      <c r="J29" t="s">
        <v>1799</v>
      </c>
      <c r="K29" t="s">
        <v>1799</v>
      </c>
      <c r="L29" t="s">
        <v>1799</v>
      </c>
      <c r="M29" t="s">
        <v>1799</v>
      </c>
      <c r="N29" t="s">
        <v>1799</v>
      </c>
      <c r="O29" s="184" t="str">
        <f>"["&amp;$C29&amp;"]["&amp;$D29&amp;"]["&amp;$F29&amp;"]"</f>
        <v>[S02_RegistryAdministrator][1][RegAdminName]</v>
      </c>
    </row>
    <row r="30" spans="1:15" x14ac:dyDescent="0.3">
      <c r="A30" t="s">
        <v>1793</v>
      </c>
      <c r="B30" t="s">
        <v>1812</v>
      </c>
      <c r="C30" t="s">
        <v>1850</v>
      </c>
      <c r="D30">
        <v>1</v>
      </c>
      <c r="E30" t="s">
        <v>1447</v>
      </c>
      <c r="F30" t="s">
        <v>1852</v>
      </c>
      <c r="G30" t="s">
        <v>1797</v>
      </c>
      <c r="H30" t="s">
        <v>1818</v>
      </c>
      <c r="I30" t="s">
        <v>1799</v>
      </c>
      <c r="J30" t="s">
        <v>1799</v>
      </c>
      <c r="K30" t="s">
        <v>1799</v>
      </c>
      <c r="L30" t="s">
        <v>1799</v>
      </c>
      <c r="M30" t="s">
        <v>1799</v>
      </c>
      <c r="N30" t="s">
        <v>1799</v>
      </c>
      <c r="O30" s="184" t="str">
        <f>"["&amp;$C30&amp;"]["&amp;$D30&amp;"]["&amp;$F30&amp;"]"</f>
        <v>[S02_RegistryAdministrator][1][RegAdminAbbreviation]</v>
      </c>
    </row>
    <row r="31" spans="1:15" x14ac:dyDescent="0.3">
      <c r="A31" t="s">
        <v>1793</v>
      </c>
      <c r="B31" t="s">
        <v>1812</v>
      </c>
      <c r="C31" t="s">
        <v>1850</v>
      </c>
      <c r="D31">
        <v>1</v>
      </c>
      <c r="E31" t="s">
        <v>1447</v>
      </c>
      <c r="F31" t="s">
        <v>1853</v>
      </c>
      <c r="G31" t="s">
        <v>1797</v>
      </c>
      <c r="H31" t="s">
        <v>1854</v>
      </c>
      <c r="I31" t="s">
        <v>1799</v>
      </c>
      <c r="J31" t="s">
        <v>1799</v>
      </c>
      <c r="K31" t="s">
        <v>1799</v>
      </c>
      <c r="L31" t="s">
        <v>1799</v>
      </c>
      <c r="M31" t="s">
        <v>1799</v>
      </c>
      <c r="N31" t="s">
        <v>1799</v>
      </c>
      <c r="O31" s="184" t="str">
        <f>"["&amp;$C31&amp;"]["&amp;$D31&amp;"]["&amp;$F31&amp;"]"</f>
        <v>[S02_RegistryAdministrator][1][RegAdminTelephone]</v>
      </c>
    </row>
    <row r="32" spans="1:15" x14ac:dyDescent="0.3">
      <c r="A32" t="s">
        <v>1793</v>
      </c>
      <c r="B32" t="s">
        <v>1812</v>
      </c>
      <c r="C32" t="s">
        <v>1850</v>
      </c>
      <c r="D32">
        <v>1</v>
      </c>
      <c r="E32" t="s">
        <v>1447</v>
      </c>
      <c r="F32" t="s">
        <v>1855</v>
      </c>
      <c r="G32" t="s">
        <v>1797</v>
      </c>
      <c r="H32" t="s">
        <v>1856</v>
      </c>
      <c r="I32" t="s">
        <v>1799</v>
      </c>
      <c r="J32" t="s">
        <v>1799</v>
      </c>
      <c r="K32" t="s">
        <v>1799</v>
      </c>
      <c r="L32" t="s">
        <v>1799</v>
      </c>
      <c r="M32" t="s">
        <v>1799</v>
      </c>
      <c r="N32" t="s">
        <v>1799</v>
      </c>
      <c r="O32" s="184" t="str">
        <f>"["&amp;$C32&amp;"]["&amp;$D32&amp;"]["&amp;$F32&amp;"]"</f>
        <v>[S02_RegistryAdministrator][1][RegAdminEmail]</v>
      </c>
    </row>
    <row r="33" spans="1:15" x14ac:dyDescent="0.3">
      <c r="A33" t="s">
        <v>1793</v>
      </c>
      <c r="B33" t="s">
        <v>1812</v>
      </c>
      <c r="C33" t="s">
        <v>1850</v>
      </c>
      <c r="D33">
        <v>1</v>
      </c>
      <c r="E33" t="s">
        <v>1447</v>
      </c>
      <c r="F33" t="s">
        <v>1857</v>
      </c>
      <c r="G33" t="s">
        <v>1797</v>
      </c>
      <c r="H33" t="s">
        <v>1824</v>
      </c>
      <c r="I33" t="s">
        <v>1799</v>
      </c>
      <c r="J33" t="s">
        <v>1799</v>
      </c>
      <c r="K33" t="s">
        <v>1799</v>
      </c>
      <c r="L33" t="s">
        <v>1799</v>
      </c>
      <c r="M33" t="s">
        <v>1799</v>
      </c>
      <c r="N33" t="s">
        <v>1799</v>
      </c>
      <c r="O33" s="184" t="str">
        <f>"["&amp;$C33&amp;"]["&amp;$D33&amp;"]["&amp;$F33&amp;"]"</f>
        <v>[S02_RegistryAdministrator][1][RegAdminWebsite]</v>
      </c>
    </row>
    <row r="34" spans="1:15" x14ac:dyDescent="0.3">
      <c r="A34" t="s">
        <v>1793</v>
      </c>
      <c r="B34" t="s">
        <v>1858</v>
      </c>
      <c r="C34" t="s">
        <v>1859</v>
      </c>
      <c r="D34">
        <v>1</v>
      </c>
      <c r="E34" t="s">
        <v>1447</v>
      </c>
      <c r="F34" t="s">
        <v>1860</v>
      </c>
      <c r="G34" t="s">
        <v>1797</v>
      </c>
      <c r="H34" t="s">
        <v>1819</v>
      </c>
      <c r="I34" t="s">
        <v>1799</v>
      </c>
      <c r="J34" t="s">
        <v>1799</v>
      </c>
      <c r="K34" t="s">
        <v>1799</v>
      </c>
      <c r="L34" t="s">
        <v>1799</v>
      </c>
      <c r="M34" t="s">
        <v>1799</v>
      </c>
      <c r="N34" t="s">
        <v>1799</v>
      </c>
      <c r="O34" s="184" t="str">
        <f>"["&amp;$C34&amp;"]["&amp;$D34&amp;"]["&amp;$F34&amp;"]"</f>
        <v>[S02_CompetentAuthorityRoles][1][CAForInstallationTask]</v>
      </c>
    </row>
    <row r="35" spans="1:15" x14ac:dyDescent="0.3">
      <c r="A35" t="s">
        <v>1793</v>
      </c>
      <c r="B35" t="s">
        <v>1858</v>
      </c>
      <c r="C35" t="s">
        <v>1859</v>
      </c>
      <c r="D35">
        <v>2</v>
      </c>
      <c r="E35" t="s">
        <v>1447</v>
      </c>
      <c r="F35" t="s">
        <v>1860</v>
      </c>
      <c r="G35" t="s">
        <v>1797</v>
      </c>
      <c r="H35" t="s">
        <v>1818</v>
      </c>
      <c r="I35" t="s">
        <v>1799</v>
      </c>
      <c r="J35" t="s">
        <v>1799</v>
      </c>
      <c r="K35" t="s">
        <v>1799</v>
      </c>
      <c r="L35" t="s">
        <v>1799</v>
      </c>
      <c r="M35" t="s">
        <v>1799</v>
      </c>
      <c r="N35" t="s">
        <v>1799</v>
      </c>
      <c r="O35" s="184" t="str">
        <f>"["&amp;$C35&amp;"]["&amp;$D35&amp;"]["&amp;$F35&amp;"]"</f>
        <v>[S02_CompetentAuthorityRoles][2][CAForInstallationTask]</v>
      </c>
    </row>
    <row r="36" spans="1:15" x14ac:dyDescent="0.3">
      <c r="A36" t="s">
        <v>1793</v>
      </c>
      <c r="B36" t="s">
        <v>1858</v>
      </c>
      <c r="C36" t="s">
        <v>1859</v>
      </c>
      <c r="D36">
        <v>3</v>
      </c>
      <c r="E36" t="s">
        <v>1447</v>
      </c>
      <c r="F36" t="s">
        <v>1860</v>
      </c>
      <c r="G36" t="s">
        <v>1797</v>
      </c>
      <c r="H36" t="s">
        <v>1818</v>
      </c>
      <c r="I36" t="s">
        <v>1799</v>
      </c>
      <c r="J36" t="s">
        <v>1799</v>
      </c>
      <c r="K36" t="s">
        <v>1799</v>
      </c>
      <c r="L36" t="s">
        <v>1799</v>
      </c>
      <c r="M36" t="s">
        <v>1799</v>
      </c>
      <c r="N36" t="s">
        <v>1799</v>
      </c>
      <c r="O36" s="184" t="str">
        <f>"["&amp;$C36&amp;"]["&amp;$D36&amp;"]["&amp;$F36&amp;"]"</f>
        <v>[S02_CompetentAuthorityRoles][3][CAForInstallationTask]</v>
      </c>
    </row>
    <row r="37" spans="1:15" x14ac:dyDescent="0.3">
      <c r="A37" t="s">
        <v>1793</v>
      </c>
      <c r="B37" t="s">
        <v>1858</v>
      </c>
      <c r="C37" t="s">
        <v>1859</v>
      </c>
      <c r="D37">
        <v>4</v>
      </c>
      <c r="E37" t="s">
        <v>1447</v>
      </c>
      <c r="F37" t="s">
        <v>1860</v>
      </c>
      <c r="G37" t="s">
        <v>1797</v>
      </c>
      <c r="H37" t="s">
        <v>1818</v>
      </c>
      <c r="I37" t="s">
        <v>1799</v>
      </c>
      <c r="J37" t="s">
        <v>1799</v>
      </c>
      <c r="K37" t="s">
        <v>1799</v>
      </c>
      <c r="L37" t="s">
        <v>1799</v>
      </c>
      <c r="M37" t="s">
        <v>1799</v>
      </c>
      <c r="N37" t="s">
        <v>1799</v>
      </c>
      <c r="O37" s="184" t="str">
        <f>"["&amp;$C37&amp;"]["&amp;$D37&amp;"]["&amp;$F37&amp;"]"</f>
        <v>[S02_CompetentAuthorityRoles][4][CAForInstallationTask]</v>
      </c>
    </row>
    <row r="38" spans="1:15" x14ac:dyDescent="0.3">
      <c r="A38" t="s">
        <v>1793</v>
      </c>
      <c r="B38" t="s">
        <v>1858</v>
      </c>
      <c r="C38" t="s">
        <v>1859</v>
      </c>
      <c r="D38">
        <v>6</v>
      </c>
      <c r="E38" t="s">
        <v>1447</v>
      </c>
      <c r="F38" t="s">
        <v>1860</v>
      </c>
      <c r="G38" t="s">
        <v>1797</v>
      </c>
      <c r="H38" t="s">
        <v>1818</v>
      </c>
      <c r="I38" t="s">
        <v>1799</v>
      </c>
      <c r="J38" t="s">
        <v>1799</v>
      </c>
      <c r="K38" t="s">
        <v>1799</v>
      </c>
      <c r="L38" t="s">
        <v>1799</v>
      </c>
      <c r="M38" t="s">
        <v>1799</v>
      </c>
      <c r="N38" t="s">
        <v>1799</v>
      </c>
      <c r="O38" s="184" t="str">
        <f>"["&amp;$C38&amp;"]["&amp;$D38&amp;"]["&amp;$F38&amp;"]"</f>
        <v>[S02_CompetentAuthorityRoles][6][CAForInstallationTask]</v>
      </c>
    </row>
    <row r="39" spans="1:15" x14ac:dyDescent="0.3">
      <c r="A39" t="s">
        <v>1793</v>
      </c>
      <c r="B39" t="s">
        <v>1858</v>
      </c>
      <c r="C39" t="s">
        <v>1859</v>
      </c>
      <c r="D39">
        <v>7</v>
      </c>
      <c r="E39" t="s">
        <v>1447</v>
      </c>
      <c r="F39" t="s">
        <v>1860</v>
      </c>
      <c r="G39" t="s">
        <v>1797</v>
      </c>
      <c r="H39" t="s">
        <v>1818</v>
      </c>
      <c r="I39" t="s">
        <v>1799</v>
      </c>
      <c r="J39" t="s">
        <v>1799</v>
      </c>
      <c r="K39" t="s">
        <v>1799</v>
      </c>
      <c r="L39" t="s">
        <v>1799</v>
      </c>
      <c r="M39" t="s">
        <v>1799</v>
      </c>
      <c r="N39" t="s">
        <v>1799</v>
      </c>
      <c r="O39" s="184" t="str">
        <f>"["&amp;$C39&amp;"]["&amp;$D39&amp;"]["&amp;$F39&amp;"]"</f>
        <v>[S02_CompetentAuthorityRoles][7][CAForInstallationTask]</v>
      </c>
    </row>
    <row r="40" spans="1:15" x14ac:dyDescent="0.3">
      <c r="A40" t="s">
        <v>1793</v>
      </c>
      <c r="B40" t="s">
        <v>1858</v>
      </c>
      <c r="C40" t="s">
        <v>1859</v>
      </c>
      <c r="D40">
        <v>8</v>
      </c>
      <c r="E40" t="s">
        <v>1447</v>
      </c>
      <c r="F40" t="s">
        <v>1860</v>
      </c>
      <c r="G40" t="s">
        <v>1797</v>
      </c>
      <c r="H40" t="s">
        <v>1818</v>
      </c>
      <c r="I40" t="s">
        <v>1799</v>
      </c>
      <c r="J40" t="s">
        <v>1799</v>
      </c>
      <c r="K40" t="s">
        <v>1799</v>
      </c>
      <c r="L40" t="s">
        <v>1799</v>
      </c>
      <c r="M40" t="s">
        <v>1799</v>
      </c>
      <c r="N40" t="s">
        <v>1799</v>
      </c>
      <c r="O40" s="184" t="str">
        <f>"["&amp;$C40&amp;"]["&amp;$D40&amp;"]["&amp;$F40&amp;"]"</f>
        <v>[S02_CompetentAuthorityRoles][8][CAForInstallationTask]</v>
      </c>
    </row>
    <row r="41" spans="1:15" x14ac:dyDescent="0.3">
      <c r="A41" t="s">
        <v>1793</v>
      </c>
      <c r="B41" t="s">
        <v>1858</v>
      </c>
      <c r="C41" t="s">
        <v>1859</v>
      </c>
      <c r="D41">
        <v>9</v>
      </c>
      <c r="E41" t="s">
        <v>1447</v>
      </c>
      <c r="F41" t="s">
        <v>1860</v>
      </c>
      <c r="G41" t="s">
        <v>1797</v>
      </c>
      <c r="H41" t="s">
        <v>1818</v>
      </c>
      <c r="I41" t="s">
        <v>1799</v>
      </c>
      <c r="J41" t="s">
        <v>1799</v>
      </c>
      <c r="K41" t="s">
        <v>1799</v>
      </c>
      <c r="L41" t="s">
        <v>1799</v>
      </c>
      <c r="M41" t="s">
        <v>1799</v>
      </c>
      <c r="N41" t="s">
        <v>1799</v>
      </c>
      <c r="O41" s="184" t="str">
        <f>"["&amp;$C41&amp;"]["&amp;$D41&amp;"]["&amp;$F41&amp;"]"</f>
        <v>[S02_CompetentAuthorityRoles][9][CAForInstallationTask]</v>
      </c>
    </row>
    <row r="42" spans="1:15" x14ac:dyDescent="0.3">
      <c r="A42" t="s">
        <v>1793</v>
      </c>
      <c r="B42" t="s">
        <v>1858</v>
      </c>
      <c r="C42" t="s">
        <v>1859</v>
      </c>
      <c r="D42">
        <v>10</v>
      </c>
      <c r="E42" t="s">
        <v>1447</v>
      </c>
      <c r="F42" t="s">
        <v>1860</v>
      </c>
      <c r="G42" t="s">
        <v>1797</v>
      </c>
      <c r="H42" t="s">
        <v>1818</v>
      </c>
      <c r="I42" t="s">
        <v>1799</v>
      </c>
      <c r="J42" t="s">
        <v>1799</v>
      </c>
      <c r="K42" t="s">
        <v>1799</v>
      </c>
      <c r="L42" t="s">
        <v>1799</v>
      </c>
      <c r="M42" t="s">
        <v>1799</v>
      </c>
      <c r="N42" t="s">
        <v>1799</v>
      </c>
      <c r="O42" s="184" t="str">
        <f>"["&amp;$C42&amp;"]["&amp;$D42&amp;"]["&amp;$F42&amp;"]"</f>
        <v>[S02_CompetentAuthorityRoles][10][CAForInstallationTask]</v>
      </c>
    </row>
    <row r="43" spans="1:15" x14ac:dyDescent="0.3">
      <c r="A43" t="s">
        <v>1793</v>
      </c>
      <c r="B43" t="s">
        <v>1858</v>
      </c>
      <c r="C43" t="s">
        <v>1859</v>
      </c>
      <c r="D43">
        <v>11</v>
      </c>
      <c r="E43" t="s">
        <v>1447</v>
      </c>
      <c r="F43" t="s">
        <v>1860</v>
      </c>
      <c r="G43" t="s">
        <v>1797</v>
      </c>
      <c r="H43" t="s">
        <v>1818</v>
      </c>
      <c r="I43" t="s">
        <v>1799</v>
      </c>
      <c r="J43" t="s">
        <v>1799</v>
      </c>
      <c r="K43" t="s">
        <v>1799</v>
      </c>
      <c r="L43" t="s">
        <v>1799</v>
      </c>
      <c r="M43" t="s">
        <v>1799</v>
      </c>
      <c r="N43" t="s">
        <v>1799</v>
      </c>
      <c r="O43" s="184" t="str">
        <f>"["&amp;$C43&amp;"]["&amp;$D43&amp;"]["&amp;$F43&amp;"]"</f>
        <v>[S02_CompetentAuthorityRoles][11][CAForInstallationTask]</v>
      </c>
    </row>
    <row r="44" spans="1:15" x14ac:dyDescent="0.3">
      <c r="A44" t="s">
        <v>1793</v>
      </c>
      <c r="B44" t="s">
        <v>1858</v>
      </c>
      <c r="C44" t="s">
        <v>1859</v>
      </c>
      <c r="D44">
        <v>12</v>
      </c>
      <c r="E44" t="s">
        <v>1447</v>
      </c>
      <c r="F44" t="s">
        <v>1860</v>
      </c>
      <c r="G44" t="s">
        <v>1797</v>
      </c>
      <c r="H44" t="s">
        <v>1818</v>
      </c>
      <c r="I44" t="s">
        <v>1799</v>
      </c>
      <c r="J44" t="s">
        <v>1799</v>
      </c>
      <c r="K44" t="s">
        <v>1799</v>
      </c>
      <c r="L44" t="s">
        <v>1799</v>
      </c>
      <c r="M44" t="s">
        <v>1799</v>
      </c>
      <c r="N44" t="s">
        <v>1799</v>
      </c>
      <c r="O44" s="184" t="str">
        <f>"["&amp;$C44&amp;"]["&amp;$D44&amp;"]["&amp;$F44&amp;"]"</f>
        <v>[S02_CompetentAuthorityRoles][12][CAForInstallationTask]</v>
      </c>
    </row>
    <row r="45" spans="1:15" x14ac:dyDescent="0.3">
      <c r="A45" t="s">
        <v>1793</v>
      </c>
      <c r="B45" t="s">
        <v>1858</v>
      </c>
      <c r="C45" t="s">
        <v>1859</v>
      </c>
      <c r="D45">
        <v>13</v>
      </c>
      <c r="E45" t="s">
        <v>1447</v>
      </c>
      <c r="F45" t="s">
        <v>1860</v>
      </c>
      <c r="G45" t="s">
        <v>1797</v>
      </c>
      <c r="H45" t="s">
        <v>1818</v>
      </c>
      <c r="I45" t="s">
        <v>1799</v>
      </c>
      <c r="J45" t="s">
        <v>1799</v>
      </c>
      <c r="K45" t="s">
        <v>1799</v>
      </c>
      <c r="L45" t="s">
        <v>1799</v>
      </c>
      <c r="M45" t="s">
        <v>1799</v>
      </c>
      <c r="N45" t="s">
        <v>1799</v>
      </c>
      <c r="O45" s="184" t="str">
        <f>"["&amp;$C45&amp;"]["&amp;$D45&amp;"]["&amp;$F45&amp;"]"</f>
        <v>[S02_CompetentAuthorityRoles][13][CAForInstallationTask]</v>
      </c>
    </row>
    <row r="46" spans="1:15" x14ac:dyDescent="0.3">
      <c r="A46" t="s">
        <v>1793</v>
      </c>
      <c r="B46" t="s">
        <v>1858</v>
      </c>
      <c r="C46" t="s">
        <v>1859</v>
      </c>
      <c r="D46">
        <v>5</v>
      </c>
      <c r="E46" t="s">
        <v>1447</v>
      </c>
      <c r="F46" t="s">
        <v>1861</v>
      </c>
      <c r="G46" t="s">
        <v>1797</v>
      </c>
      <c r="H46" t="s">
        <v>1818</v>
      </c>
      <c r="I46" t="s">
        <v>1799</v>
      </c>
      <c r="J46" t="s">
        <v>1799</v>
      </c>
      <c r="K46" t="s">
        <v>1799</v>
      </c>
      <c r="L46" t="s">
        <v>1799</v>
      </c>
      <c r="M46" t="s">
        <v>1799</v>
      </c>
      <c r="N46" t="s">
        <v>1799</v>
      </c>
      <c r="O46" s="184" t="str">
        <f>"["&amp;$C46&amp;"]["&amp;$D46&amp;"]["&amp;$F46&amp;"]"</f>
        <v>[S02_CompetentAuthorityRoles][5][CAForAviationTask]</v>
      </c>
    </row>
    <row r="47" spans="1:15" x14ac:dyDescent="0.3">
      <c r="A47" t="s">
        <v>1793</v>
      </c>
      <c r="B47" t="s">
        <v>1858</v>
      </c>
      <c r="C47" t="s">
        <v>1859</v>
      </c>
      <c r="D47">
        <v>6</v>
      </c>
      <c r="E47" t="s">
        <v>1447</v>
      </c>
      <c r="F47" t="s">
        <v>1861</v>
      </c>
      <c r="G47" t="s">
        <v>1797</v>
      </c>
      <c r="H47" t="s">
        <v>1818</v>
      </c>
      <c r="I47" t="s">
        <v>1799</v>
      </c>
      <c r="J47" t="s">
        <v>1799</v>
      </c>
      <c r="K47" t="s">
        <v>1799</v>
      </c>
      <c r="L47" t="s">
        <v>1799</v>
      </c>
      <c r="M47" t="s">
        <v>1799</v>
      </c>
      <c r="N47" t="s">
        <v>1799</v>
      </c>
      <c r="O47" s="184" t="str">
        <f>"["&amp;$C47&amp;"]["&amp;$D47&amp;"]["&amp;$F47&amp;"]"</f>
        <v>[S02_CompetentAuthorityRoles][6][CAForAviationTask]</v>
      </c>
    </row>
    <row r="48" spans="1:15" x14ac:dyDescent="0.3">
      <c r="A48" t="s">
        <v>1793</v>
      </c>
      <c r="B48" t="s">
        <v>1858</v>
      </c>
      <c r="C48" t="s">
        <v>1859</v>
      </c>
      <c r="D48">
        <v>7</v>
      </c>
      <c r="E48" t="s">
        <v>1447</v>
      </c>
      <c r="F48" t="s">
        <v>1861</v>
      </c>
      <c r="G48" t="s">
        <v>1797</v>
      </c>
      <c r="H48" t="s">
        <v>1818</v>
      </c>
      <c r="I48" t="s">
        <v>1799</v>
      </c>
      <c r="J48" t="s">
        <v>1799</v>
      </c>
      <c r="K48" t="s">
        <v>1799</v>
      </c>
      <c r="L48" t="s">
        <v>1799</v>
      </c>
      <c r="M48" t="s">
        <v>1799</v>
      </c>
      <c r="N48" t="s">
        <v>1799</v>
      </c>
      <c r="O48" s="184" t="str">
        <f>"["&amp;$C48&amp;"]["&amp;$D48&amp;"]["&amp;$F48&amp;"]"</f>
        <v>[S02_CompetentAuthorityRoles][7][CAForAviationTask]</v>
      </c>
    </row>
    <row r="49" spans="1:15" x14ac:dyDescent="0.3">
      <c r="A49" t="s">
        <v>1793</v>
      </c>
      <c r="B49" t="s">
        <v>1858</v>
      </c>
      <c r="C49" t="s">
        <v>1859</v>
      </c>
      <c r="D49">
        <v>8</v>
      </c>
      <c r="E49" t="s">
        <v>1447</v>
      </c>
      <c r="F49" t="s">
        <v>1861</v>
      </c>
      <c r="G49" t="s">
        <v>1797</v>
      </c>
      <c r="H49" t="s">
        <v>1818</v>
      </c>
      <c r="I49" t="s">
        <v>1799</v>
      </c>
      <c r="J49" t="s">
        <v>1799</v>
      </c>
      <c r="K49" t="s">
        <v>1799</v>
      </c>
      <c r="L49" t="s">
        <v>1799</v>
      </c>
      <c r="M49" t="s">
        <v>1799</v>
      </c>
      <c r="N49" t="s">
        <v>1799</v>
      </c>
      <c r="O49" s="184" t="str">
        <f>"["&amp;$C49&amp;"]["&amp;$D49&amp;"]["&amp;$F49&amp;"]"</f>
        <v>[S02_CompetentAuthorityRoles][8][CAForAviationTask]</v>
      </c>
    </row>
    <row r="50" spans="1:15" x14ac:dyDescent="0.3">
      <c r="A50" t="s">
        <v>1793</v>
      </c>
      <c r="B50" t="s">
        <v>1858</v>
      </c>
      <c r="C50" t="s">
        <v>1859</v>
      </c>
      <c r="D50">
        <v>9</v>
      </c>
      <c r="E50" t="s">
        <v>1447</v>
      </c>
      <c r="F50" t="s">
        <v>1861</v>
      </c>
      <c r="G50" t="s">
        <v>1797</v>
      </c>
      <c r="H50" t="s">
        <v>1818</v>
      </c>
      <c r="I50" t="s">
        <v>1799</v>
      </c>
      <c r="J50" t="s">
        <v>1799</v>
      </c>
      <c r="K50" t="s">
        <v>1799</v>
      </c>
      <c r="L50" t="s">
        <v>1799</v>
      </c>
      <c r="M50" t="s">
        <v>1799</v>
      </c>
      <c r="N50" t="s">
        <v>1799</v>
      </c>
      <c r="O50" s="184" t="str">
        <f>"["&amp;$C50&amp;"]["&amp;$D50&amp;"]["&amp;$F50&amp;"]"</f>
        <v>[S02_CompetentAuthorityRoles][9][CAForAviationTask]</v>
      </c>
    </row>
    <row r="51" spans="1:15" x14ac:dyDescent="0.3">
      <c r="A51" t="s">
        <v>1793</v>
      </c>
      <c r="B51" t="s">
        <v>1858</v>
      </c>
      <c r="C51" t="s">
        <v>1859</v>
      </c>
      <c r="D51">
        <v>10</v>
      </c>
      <c r="E51" t="s">
        <v>1447</v>
      </c>
      <c r="F51" t="s">
        <v>1861</v>
      </c>
      <c r="G51" t="s">
        <v>1797</v>
      </c>
      <c r="H51" t="s">
        <v>1818</v>
      </c>
      <c r="I51" t="s">
        <v>1799</v>
      </c>
      <c r="J51" t="s">
        <v>1799</v>
      </c>
      <c r="K51" t="s">
        <v>1799</v>
      </c>
      <c r="L51" t="s">
        <v>1799</v>
      </c>
      <c r="M51" t="s">
        <v>1799</v>
      </c>
      <c r="N51" t="s">
        <v>1799</v>
      </c>
      <c r="O51" s="184" t="str">
        <f>"["&amp;$C51&amp;"]["&amp;$D51&amp;"]["&amp;$F51&amp;"]"</f>
        <v>[S02_CompetentAuthorityRoles][10][CAForAviationTask]</v>
      </c>
    </row>
    <row r="52" spans="1:15" x14ac:dyDescent="0.3">
      <c r="A52" t="s">
        <v>1793</v>
      </c>
      <c r="B52" t="s">
        <v>1858</v>
      </c>
      <c r="C52" t="s">
        <v>1859</v>
      </c>
      <c r="D52">
        <v>11</v>
      </c>
      <c r="E52" t="s">
        <v>1447</v>
      </c>
      <c r="F52" t="s">
        <v>1861</v>
      </c>
      <c r="G52" t="s">
        <v>1797</v>
      </c>
      <c r="H52" t="s">
        <v>1818</v>
      </c>
      <c r="I52" t="s">
        <v>1799</v>
      </c>
      <c r="J52" t="s">
        <v>1799</v>
      </c>
      <c r="K52" t="s">
        <v>1799</v>
      </c>
      <c r="L52" t="s">
        <v>1799</v>
      </c>
      <c r="M52" t="s">
        <v>1799</v>
      </c>
      <c r="N52" t="s">
        <v>1799</v>
      </c>
      <c r="O52" s="184" t="str">
        <f>"["&amp;$C52&amp;"]["&amp;$D52&amp;"]["&amp;$F52&amp;"]"</f>
        <v>[S02_CompetentAuthorityRoles][11][CAForAviationTask]</v>
      </c>
    </row>
    <row r="53" spans="1:15" x14ac:dyDescent="0.3">
      <c r="A53" t="s">
        <v>1793</v>
      </c>
      <c r="B53" t="s">
        <v>1862</v>
      </c>
      <c r="C53" t="s">
        <v>1863</v>
      </c>
      <c r="D53">
        <v>0</v>
      </c>
      <c r="E53" t="s">
        <v>1447</v>
      </c>
      <c r="F53" t="s">
        <v>1864</v>
      </c>
      <c r="G53" t="s">
        <v>1797</v>
      </c>
      <c r="H53" t="s">
        <v>1815</v>
      </c>
      <c r="I53" t="s">
        <v>1799</v>
      </c>
      <c r="J53" t="s">
        <v>1799</v>
      </c>
      <c r="K53" t="s">
        <v>1799</v>
      </c>
      <c r="L53" t="s">
        <v>1799</v>
      </c>
      <c r="M53" t="s">
        <v>1799</v>
      </c>
      <c r="N53" t="s">
        <v>1799</v>
      </c>
      <c r="O53" s="184" t="str">
        <f>"["&amp;$C53&amp;"]["&amp;$D53&amp;"]["&amp;$F53&amp;"]"</f>
        <v>[S02_CAFocalPoint][0][CAArt70]</v>
      </c>
    </row>
    <row r="54" spans="1:15" x14ac:dyDescent="0.3">
      <c r="A54" t="s">
        <v>1793</v>
      </c>
      <c r="B54" t="s">
        <v>1862</v>
      </c>
      <c r="C54" t="s">
        <v>1863</v>
      </c>
      <c r="D54">
        <v>0</v>
      </c>
      <c r="E54" t="s">
        <v>1447</v>
      </c>
      <c r="F54" t="s">
        <v>1865</v>
      </c>
      <c r="G54" t="s">
        <v>1797</v>
      </c>
      <c r="H54" t="s">
        <v>1818</v>
      </c>
      <c r="I54" t="s">
        <v>1799</v>
      </c>
      <c r="J54" t="s">
        <v>1799</v>
      </c>
      <c r="K54" t="s">
        <v>1799</v>
      </c>
      <c r="L54" t="s">
        <v>1799</v>
      </c>
      <c r="M54" t="s">
        <v>1799</v>
      </c>
      <c r="N54" t="s">
        <v>1799</v>
      </c>
      <c r="O54" s="184" t="str">
        <f>"["&amp;$C54&amp;"]["&amp;$D54&amp;"]["&amp;$F54&amp;"]"</f>
        <v>[S02_CAFocalPoint][0][CAArt70Abbrev]</v>
      </c>
    </row>
    <row r="55" spans="1:15" x14ac:dyDescent="0.3">
      <c r="A55" t="s">
        <v>1793</v>
      </c>
      <c r="B55" t="s">
        <v>1862</v>
      </c>
      <c r="C55" t="s">
        <v>1866</v>
      </c>
      <c r="D55">
        <v>2</v>
      </c>
      <c r="E55" t="s">
        <v>1447</v>
      </c>
      <c r="F55" t="s">
        <v>1867</v>
      </c>
      <c r="G55" t="s">
        <v>1826</v>
      </c>
      <c r="H55" t="s">
        <v>1799</v>
      </c>
      <c r="I55" t="s">
        <v>1799</v>
      </c>
      <c r="J55" t="s">
        <v>1799</v>
      </c>
      <c r="K55" t="s">
        <v>1799</v>
      </c>
      <c r="L55" t="s">
        <v>1447</v>
      </c>
      <c r="M55" t="s">
        <v>1799</v>
      </c>
      <c r="N55" t="s">
        <v>1799</v>
      </c>
      <c r="O55" s="184" t="str">
        <f>"["&amp;$C55&amp;"]["&amp;$D55&amp;"]["&amp;$F55&amp;"]"</f>
        <v>[S02_CompetentAuthorityCoordination][2][CACoordinationYesNo]</v>
      </c>
    </row>
    <row r="56" spans="1:15" x14ac:dyDescent="0.3">
      <c r="A56" t="s">
        <v>1793</v>
      </c>
      <c r="B56" t="s">
        <v>1862</v>
      </c>
      <c r="C56" t="s">
        <v>1866</v>
      </c>
      <c r="D56">
        <v>3</v>
      </c>
      <c r="E56" t="s">
        <v>1447</v>
      </c>
      <c r="F56" t="s">
        <v>1867</v>
      </c>
      <c r="G56" t="s">
        <v>1826</v>
      </c>
      <c r="H56" t="s">
        <v>1799</v>
      </c>
      <c r="I56" t="s">
        <v>1799</v>
      </c>
      <c r="J56" t="s">
        <v>1799</v>
      </c>
      <c r="K56" t="s">
        <v>1799</v>
      </c>
      <c r="L56" t="s">
        <v>1447</v>
      </c>
      <c r="M56" t="s">
        <v>1799</v>
      </c>
      <c r="N56" t="s">
        <v>1799</v>
      </c>
      <c r="O56" s="184" t="str">
        <f>"["&amp;$C56&amp;"]["&amp;$D56&amp;"]["&amp;$F56&amp;"]"</f>
        <v>[S02_CompetentAuthorityCoordination][3][CACoordinationYesNo]</v>
      </c>
    </row>
    <row r="57" spans="1:15" x14ac:dyDescent="0.3">
      <c r="A57" t="s">
        <v>1793</v>
      </c>
      <c r="B57" t="s">
        <v>1862</v>
      </c>
      <c r="C57" t="s">
        <v>1866</v>
      </c>
      <c r="D57">
        <v>4</v>
      </c>
      <c r="E57" t="s">
        <v>1447</v>
      </c>
      <c r="F57" t="s">
        <v>1867</v>
      </c>
      <c r="G57" t="s">
        <v>1826</v>
      </c>
      <c r="H57" t="s">
        <v>1799</v>
      </c>
      <c r="I57" t="s">
        <v>1799</v>
      </c>
      <c r="J57" t="s">
        <v>1799</v>
      </c>
      <c r="K57" t="s">
        <v>1799</v>
      </c>
      <c r="L57" t="s">
        <v>1447</v>
      </c>
      <c r="M57" t="s">
        <v>1799</v>
      </c>
      <c r="N57" t="s">
        <v>1799</v>
      </c>
      <c r="O57" s="184" t="str">
        <f>"["&amp;$C57&amp;"]["&amp;$D57&amp;"]["&amp;$F57&amp;"]"</f>
        <v>[S02_CompetentAuthorityCoordination][4][CACoordinationYesNo]</v>
      </c>
    </row>
    <row r="58" spans="1:15" x14ac:dyDescent="0.3">
      <c r="A58" t="s">
        <v>1793</v>
      </c>
      <c r="B58" t="s">
        <v>1862</v>
      </c>
      <c r="C58" t="s">
        <v>1866</v>
      </c>
      <c r="D58">
        <v>5</v>
      </c>
      <c r="E58" t="s">
        <v>1447</v>
      </c>
      <c r="F58" t="s">
        <v>1867</v>
      </c>
      <c r="G58" t="s">
        <v>1826</v>
      </c>
      <c r="H58" t="s">
        <v>1799</v>
      </c>
      <c r="I58" t="s">
        <v>1799</v>
      </c>
      <c r="J58" t="s">
        <v>1799</v>
      </c>
      <c r="K58" t="s">
        <v>1799</v>
      </c>
      <c r="L58" t="s">
        <v>1447</v>
      </c>
      <c r="M58" t="s">
        <v>1799</v>
      </c>
      <c r="N58" t="s">
        <v>1799</v>
      </c>
      <c r="O58" s="184" t="str">
        <f>"["&amp;$C58&amp;"]["&amp;$D58&amp;"]["&amp;$F58&amp;"]"</f>
        <v>[S02_CompetentAuthorityCoordination][5][CACoordinationYesNo]</v>
      </c>
    </row>
    <row r="59" spans="1:15" x14ac:dyDescent="0.3">
      <c r="A59" t="s">
        <v>1793</v>
      </c>
      <c r="B59" t="s">
        <v>1862</v>
      </c>
      <c r="C59" t="s">
        <v>1866</v>
      </c>
      <c r="D59">
        <v>6</v>
      </c>
      <c r="E59" t="s">
        <v>1447</v>
      </c>
      <c r="F59" t="s">
        <v>1867</v>
      </c>
      <c r="G59" t="s">
        <v>1826</v>
      </c>
      <c r="H59" t="s">
        <v>1799</v>
      </c>
      <c r="I59" t="s">
        <v>1799</v>
      </c>
      <c r="J59" t="s">
        <v>1799</v>
      </c>
      <c r="K59" t="s">
        <v>1799</v>
      </c>
      <c r="L59" t="s">
        <v>1447</v>
      </c>
      <c r="M59" t="s">
        <v>1799</v>
      </c>
      <c r="N59" t="s">
        <v>1799</v>
      </c>
      <c r="O59" s="184" t="str">
        <f>"["&amp;$C59&amp;"]["&amp;$D59&amp;"]["&amp;$F59&amp;"]"</f>
        <v>[S02_CompetentAuthorityCoordination][6][CACoordinationYesNo]</v>
      </c>
    </row>
    <row r="60" spans="1:15" x14ac:dyDescent="0.3">
      <c r="A60" t="s">
        <v>1793</v>
      </c>
      <c r="B60" t="s">
        <v>1862</v>
      </c>
      <c r="C60" t="s">
        <v>1866</v>
      </c>
      <c r="D60">
        <v>2</v>
      </c>
      <c r="E60" t="s">
        <v>1447</v>
      </c>
      <c r="F60" t="s">
        <v>1868</v>
      </c>
      <c r="G60" t="s">
        <v>1869</v>
      </c>
      <c r="H60" t="s">
        <v>1799</v>
      </c>
      <c r="I60" t="s">
        <v>1799</v>
      </c>
      <c r="J60" t="s">
        <v>1799</v>
      </c>
      <c r="K60" t="s">
        <v>1870</v>
      </c>
      <c r="L60" t="s">
        <v>1799</v>
      </c>
      <c r="M60" t="s">
        <v>1799</v>
      </c>
      <c r="N60" t="s">
        <v>1799</v>
      </c>
      <c r="O60" s="184" t="str">
        <f>"["&amp;$C60&amp;"]["&amp;$D60&amp;"]["&amp;$F60&amp;"]"</f>
        <v>[S02_CompetentAuthorityCoordination][2][CACoordinationComment]</v>
      </c>
    </row>
    <row r="61" spans="1:15" x14ac:dyDescent="0.3">
      <c r="A61" t="s">
        <v>1793</v>
      </c>
      <c r="B61" t="s">
        <v>1862</v>
      </c>
      <c r="C61" t="s">
        <v>1866</v>
      </c>
      <c r="D61">
        <v>3</v>
      </c>
      <c r="E61" t="s">
        <v>1447</v>
      </c>
      <c r="F61" t="s">
        <v>1868</v>
      </c>
      <c r="G61" t="s">
        <v>1869</v>
      </c>
      <c r="H61" t="s">
        <v>1799</v>
      </c>
      <c r="I61" t="s">
        <v>1799</v>
      </c>
      <c r="J61" t="s">
        <v>1799</v>
      </c>
      <c r="K61" t="s">
        <v>1871</v>
      </c>
      <c r="L61" t="s">
        <v>1799</v>
      </c>
      <c r="M61" t="s">
        <v>1799</v>
      </c>
      <c r="N61" t="s">
        <v>1799</v>
      </c>
      <c r="O61" s="184" t="str">
        <f>"["&amp;$C61&amp;"]["&amp;$D61&amp;"]["&amp;$F61&amp;"]"</f>
        <v>[S02_CompetentAuthorityCoordination][3][CACoordinationComment]</v>
      </c>
    </row>
    <row r="62" spans="1:15" x14ac:dyDescent="0.3">
      <c r="A62" t="s">
        <v>1793</v>
      </c>
      <c r="B62" t="s">
        <v>1862</v>
      </c>
      <c r="C62" t="s">
        <v>1866</v>
      </c>
      <c r="D62">
        <v>4</v>
      </c>
      <c r="E62" t="s">
        <v>1447</v>
      </c>
      <c r="F62" t="s">
        <v>1868</v>
      </c>
      <c r="G62" t="s">
        <v>1869</v>
      </c>
      <c r="H62" t="s">
        <v>1799</v>
      </c>
      <c r="I62" t="s">
        <v>1799</v>
      </c>
      <c r="J62" t="s">
        <v>1799</v>
      </c>
      <c r="K62" t="s">
        <v>1872</v>
      </c>
      <c r="L62" t="s">
        <v>1799</v>
      </c>
      <c r="M62" t="s">
        <v>1799</v>
      </c>
      <c r="N62" t="s">
        <v>1799</v>
      </c>
      <c r="O62" s="184" t="str">
        <f>"["&amp;$C62&amp;"]["&amp;$D62&amp;"]["&amp;$F62&amp;"]"</f>
        <v>[S02_CompetentAuthorityCoordination][4][CACoordinationComment]</v>
      </c>
    </row>
    <row r="63" spans="1:15" x14ac:dyDescent="0.3">
      <c r="A63" t="s">
        <v>1793</v>
      </c>
      <c r="B63" t="s">
        <v>1862</v>
      </c>
      <c r="C63" t="s">
        <v>1866</v>
      </c>
      <c r="D63">
        <v>5</v>
      </c>
      <c r="E63" t="s">
        <v>1447</v>
      </c>
      <c r="F63" t="s">
        <v>1868</v>
      </c>
      <c r="G63" t="s">
        <v>1869</v>
      </c>
      <c r="H63" t="s">
        <v>1799</v>
      </c>
      <c r="I63" t="s">
        <v>1799</v>
      </c>
      <c r="J63" t="s">
        <v>1799</v>
      </c>
      <c r="K63" t="s">
        <v>1873</v>
      </c>
      <c r="L63" t="s">
        <v>1799</v>
      </c>
      <c r="M63" t="s">
        <v>1799</v>
      </c>
      <c r="N63" t="s">
        <v>1799</v>
      </c>
      <c r="O63" s="184" t="str">
        <f>"["&amp;$C63&amp;"]["&amp;$D63&amp;"]["&amp;$F63&amp;"]"</f>
        <v>[S02_CompetentAuthorityCoordination][5][CACoordinationComment]</v>
      </c>
    </row>
    <row r="64" spans="1:15" x14ac:dyDescent="0.3">
      <c r="A64" t="s">
        <v>1793</v>
      </c>
      <c r="B64" t="s">
        <v>1862</v>
      </c>
      <c r="C64" t="s">
        <v>1866</v>
      </c>
      <c r="D64">
        <v>6</v>
      </c>
      <c r="E64" t="s">
        <v>1447</v>
      </c>
      <c r="F64" t="s">
        <v>1868</v>
      </c>
      <c r="G64" t="s">
        <v>1869</v>
      </c>
      <c r="H64" t="s">
        <v>1799</v>
      </c>
      <c r="I64" t="s">
        <v>1799</v>
      </c>
      <c r="J64" t="s">
        <v>1799</v>
      </c>
      <c r="K64" t="s">
        <v>1874</v>
      </c>
      <c r="L64" t="s">
        <v>1799</v>
      </c>
      <c r="M64" t="s">
        <v>1799</v>
      </c>
      <c r="N64" t="s">
        <v>1799</v>
      </c>
      <c r="O64" s="184" t="str">
        <f>"["&amp;$C64&amp;"]["&amp;$D64&amp;"]["&amp;$F64&amp;"]"</f>
        <v>[S02_CompetentAuthorityCoordination][6][CACoordinationComment]</v>
      </c>
    </row>
    <row r="65" spans="1:15" x14ac:dyDescent="0.3">
      <c r="A65" t="s">
        <v>1793</v>
      </c>
      <c r="B65" t="s">
        <v>1875</v>
      </c>
      <c r="C65" t="s">
        <v>1876</v>
      </c>
      <c r="D65">
        <v>1</v>
      </c>
      <c r="E65" t="s">
        <v>1447</v>
      </c>
      <c r="F65" t="s">
        <v>1877</v>
      </c>
      <c r="G65" t="s">
        <v>1826</v>
      </c>
      <c r="H65" t="s">
        <v>1799</v>
      </c>
      <c r="I65" t="s">
        <v>1799</v>
      </c>
      <c r="J65" t="s">
        <v>1799</v>
      </c>
      <c r="K65" t="s">
        <v>1799</v>
      </c>
      <c r="L65" t="s">
        <v>1419</v>
      </c>
      <c r="M65" t="s">
        <v>1799</v>
      </c>
      <c r="N65" t="s">
        <v>1799</v>
      </c>
      <c r="O65" s="184" t="str">
        <f>"["&amp;$C65&amp;"]["&amp;$D65&amp;"]["&amp;$F65&amp;"]"</f>
        <v>[S02_InformationExchangeAccBodyAndCA][1][InfoExchangeYesNo]</v>
      </c>
    </row>
    <row r="66" spans="1:15" x14ac:dyDescent="0.3">
      <c r="A66" t="s">
        <v>1793</v>
      </c>
      <c r="B66" t="s">
        <v>1875</v>
      </c>
      <c r="C66" t="s">
        <v>1876</v>
      </c>
      <c r="D66">
        <v>2</v>
      </c>
      <c r="E66" t="s">
        <v>1447</v>
      </c>
      <c r="F66" t="s">
        <v>1877</v>
      </c>
      <c r="G66" t="s">
        <v>1826</v>
      </c>
      <c r="H66" t="s">
        <v>1799</v>
      </c>
      <c r="I66" t="s">
        <v>1799</v>
      </c>
      <c r="J66" t="s">
        <v>1799</v>
      </c>
      <c r="K66" t="s">
        <v>1799</v>
      </c>
      <c r="L66" t="s">
        <v>1419</v>
      </c>
      <c r="M66" t="s">
        <v>1799</v>
      </c>
      <c r="N66" t="s">
        <v>1799</v>
      </c>
      <c r="O66" s="184" t="str">
        <f>"["&amp;$C66&amp;"]["&amp;$D66&amp;"]["&amp;$F66&amp;"]"</f>
        <v>[S02_InformationExchangeAccBodyAndCA][2][InfoExchangeYesNo]</v>
      </c>
    </row>
    <row r="67" spans="1:15" x14ac:dyDescent="0.3">
      <c r="A67" t="s">
        <v>1793</v>
      </c>
      <c r="B67" t="s">
        <v>1875</v>
      </c>
      <c r="C67" t="s">
        <v>1876</v>
      </c>
      <c r="D67">
        <v>3</v>
      </c>
      <c r="E67" t="s">
        <v>1447</v>
      </c>
      <c r="F67" t="s">
        <v>1877</v>
      </c>
      <c r="G67" t="s">
        <v>1826</v>
      </c>
      <c r="H67" t="s">
        <v>1799</v>
      </c>
      <c r="I67" t="s">
        <v>1799</v>
      </c>
      <c r="J67" t="s">
        <v>1799</v>
      </c>
      <c r="K67" t="s">
        <v>1799</v>
      </c>
      <c r="L67" t="s">
        <v>1419</v>
      </c>
      <c r="M67" t="s">
        <v>1799</v>
      </c>
      <c r="N67" t="s">
        <v>1799</v>
      </c>
      <c r="O67" s="184" t="str">
        <f>"["&amp;$C67&amp;"]["&amp;$D67&amp;"]["&amp;$F67&amp;"]"</f>
        <v>[S02_InformationExchangeAccBodyAndCA][3][InfoExchangeYesNo]</v>
      </c>
    </row>
    <row r="68" spans="1:15" x14ac:dyDescent="0.3">
      <c r="A68" t="s">
        <v>1793</v>
      </c>
      <c r="B68" t="s">
        <v>1875</v>
      </c>
      <c r="C68" t="s">
        <v>1876</v>
      </c>
      <c r="D68">
        <v>1</v>
      </c>
      <c r="E68" t="s">
        <v>1447</v>
      </c>
      <c r="F68" t="s">
        <v>1878</v>
      </c>
      <c r="G68" t="s">
        <v>1869</v>
      </c>
      <c r="H68" t="s">
        <v>1799</v>
      </c>
      <c r="I68" t="s">
        <v>1799</v>
      </c>
      <c r="J68" t="s">
        <v>1799</v>
      </c>
      <c r="K68" t="s">
        <v>1879</v>
      </c>
      <c r="L68" t="s">
        <v>1799</v>
      </c>
      <c r="M68" t="s">
        <v>1799</v>
      </c>
      <c r="N68" t="s">
        <v>1799</v>
      </c>
      <c r="O68" s="184" t="str">
        <f>"["&amp;$C68&amp;"]["&amp;$D68&amp;"]["&amp;$F68&amp;"]"</f>
        <v>[S02_InformationExchangeAccBodyAndCA][1][InfoExchangeComment]</v>
      </c>
    </row>
    <row r="69" spans="1:15" x14ac:dyDescent="0.3">
      <c r="A69" t="s">
        <v>1793</v>
      </c>
      <c r="B69" t="s">
        <v>1875</v>
      </c>
      <c r="C69" t="s">
        <v>1876</v>
      </c>
      <c r="D69">
        <v>2</v>
      </c>
      <c r="E69" t="s">
        <v>1447</v>
      </c>
      <c r="F69" t="s">
        <v>1878</v>
      </c>
      <c r="G69" t="s">
        <v>1869</v>
      </c>
      <c r="H69" t="s">
        <v>1799</v>
      </c>
      <c r="I69" t="s">
        <v>1799</v>
      </c>
      <c r="J69" t="s">
        <v>1799</v>
      </c>
      <c r="K69" t="s">
        <v>1880</v>
      </c>
      <c r="L69" t="s">
        <v>1799</v>
      </c>
      <c r="M69" t="s">
        <v>1799</v>
      </c>
      <c r="N69" t="s">
        <v>1799</v>
      </c>
      <c r="O69" s="184" t="str">
        <f>"["&amp;$C69&amp;"]["&amp;$D69&amp;"]["&amp;$F69&amp;"]"</f>
        <v>[S02_InformationExchangeAccBodyAndCA][2][InfoExchangeComment]</v>
      </c>
    </row>
    <row r="70" spans="1:15" x14ac:dyDescent="0.3">
      <c r="A70" t="s">
        <v>1793</v>
      </c>
      <c r="B70" t="s">
        <v>1875</v>
      </c>
      <c r="C70" t="s">
        <v>1876</v>
      </c>
      <c r="D70">
        <v>3</v>
      </c>
      <c r="E70" t="s">
        <v>1447</v>
      </c>
      <c r="F70" t="s">
        <v>1878</v>
      </c>
      <c r="G70" t="s">
        <v>1869</v>
      </c>
      <c r="H70" t="s">
        <v>1799</v>
      </c>
      <c r="I70" t="s">
        <v>1799</v>
      </c>
      <c r="J70" t="s">
        <v>1799</v>
      </c>
      <c r="K70" t="s">
        <v>1881</v>
      </c>
      <c r="L70" t="s">
        <v>1799</v>
      </c>
      <c r="M70" t="s">
        <v>1799</v>
      </c>
      <c r="N70" t="s">
        <v>1799</v>
      </c>
      <c r="O70" s="184" t="str">
        <f>"["&amp;$C70&amp;"]["&amp;$D70&amp;"]["&amp;$F70&amp;"]"</f>
        <v>[S02_InformationExchangeAccBodyAndCA][3][InfoExchangeComment]</v>
      </c>
    </row>
    <row r="71" spans="1:15" x14ac:dyDescent="0.3">
      <c r="A71" t="s">
        <v>1793</v>
      </c>
      <c r="B71" t="s">
        <v>1882</v>
      </c>
      <c r="C71" t="s">
        <v>1883</v>
      </c>
      <c r="D71">
        <v>1</v>
      </c>
      <c r="E71" t="s">
        <v>1447</v>
      </c>
      <c r="F71" t="s">
        <v>1884</v>
      </c>
      <c r="G71" t="s">
        <v>1811</v>
      </c>
      <c r="H71" t="s">
        <v>1799</v>
      </c>
      <c r="I71">
        <v>1732</v>
      </c>
      <c r="J71" t="s">
        <v>1799</v>
      </c>
      <c r="K71" t="s">
        <v>1799</v>
      </c>
      <c r="L71" t="s">
        <v>1799</v>
      </c>
      <c r="M71" t="s">
        <v>1799</v>
      </c>
      <c r="N71" t="s">
        <v>1799</v>
      </c>
      <c r="O71" s="184" t="str">
        <f>"["&amp;$C71&amp;"]["&amp;$D71&amp;"]["&amp;$F71&amp;"]"</f>
        <v>[S03_EmittingInstallations][1][NumberOfInstallations]</v>
      </c>
    </row>
    <row r="72" spans="1:15" x14ac:dyDescent="0.3">
      <c r="A72" t="s">
        <v>1793</v>
      </c>
      <c r="B72" t="s">
        <v>1882</v>
      </c>
      <c r="C72" t="s">
        <v>1883</v>
      </c>
      <c r="D72">
        <v>2</v>
      </c>
      <c r="E72" t="s">
        <v>1447</v>
      </c>
      <c r="F72" t="s">
        <v>1884</v>
      </c>
      <c r="G72" t="s">
        <v>1811</v>
      </c>
      <c r="H72" t="s">
        <v>1799</v>
      </c>
      <c r="I72">
        <v>1196</v>
      </c>
      <c r="J72" t="s">
        <v>1799</v>
      </c>
      <c r="K72" t="s">
        <v>1799</v>
      </c>
      <c r="L72" t="s">
        <v>1799</v>
      </c>
      <c r="M72" t="s">
        <v>1799</v>
      </c>
      <c r="N72" t="s">
        <v>1799</v>
      </c>
      <c r="O72" s="184" t="str">
        <f>"["&amp;$C72&amp;"]["&amp;$D72&amp;"]["&amp;$F72&amp;"]"</f>
        <v>[S03_EmittingInstallations][2][NumberOfInstallations]</v>
      </c>
    </row>
    <row r="73" spans="1:15" x14ac:dyDescent="0.3">
      <c r="A73" t="s">
        <v>1793</v>
      </c>
      <c r="B73" t="s">
        <v>1882</v>
      </c>
      <c r="C73" t="s">
        <v>1883</v>
      </c>
      <c r="D73">
        <v>3</v>
      </c>
      <c r="E73" t="s">
        <v>1447</v>
      </c>
      <c r="F73" t="s">
        <v>1884</v>
      </c>
      <c r="G73" t="s">
        <v>1811</v>
      </c>
      <c r="H73" t="s">
        <v>1799</v>
      </c>
      <c r="I73">
        <v>408</v>
      </c>
      <c r="J73" t="s">
        <v>1799</v>
      </c>
      <c r="K73" t="s">
        <v>1799</v>
      </c>
      <c r="L73" t="s">
        <v>1799</v>
      </c>
      <c r="M73" t="s">
        <v>1799</v>
      </c>
      <c r="N73" t="s">
        <v>1799</v>
      </c>
      <c r="O73" s="184" t="str">
        <f>"["&amp;$C73&amp;"]["&amp;$D73&amp;"]["&amp;$F73&amp;"]"</f>
        <v>[S03_EmittingInstallations][3][NumberOfInstallations]</v>
      </c>
    </row>
    <row r="74" spans="1:15" x14ac:dyDescent="0.3">
      <c r="A74" t="s">
        <v>1793</v>
      </c>
      <c r="B74" t="s">
        <v>1882</v>
      </c>
      <c r="C74" t="s">
        <v>1883</v>
      </c>
      <c r="D74">
        <v>4</v>
      </c>
      <c r="E74" t="s">
        <v>1447</v>
      </c>
      <c r="F74" t="s">
        <v>1884</v>
      </c>
      <c r="G74" t="s">
        <v>1811</v>
      </c>
      <c r="H74" t="s">
        <v>1799</v>
      </c>
      <c r="I74">
        <v>128</v>
      </c>
      <c r="J74" t="s">
        <v>1799</v>
      </c>
      <c r="K74" t="s">
        <v>1799</v>
      </c>
      <c r="L74" t="s">
        <v>1799</v>
      </c>
      <c r="M74" t="s">
        <v>1799</v>
      </c>
      <c r="N74" t="s">
        <v>1799</v>
      </c>
      <c r="O74" s="184" t="str">
        <f>"["&amp;$C74&amp;"]["&amp;$D74&amp;"]["&amp;$F74&amp;"]"</f>
        <v>[S03_EmittingInstallations][4][NumberOfInstallations]</v>
      </c>
    </row>
    <row r="75" spans="1:15" x14ac:dyDescent="0.3">
      <c r="A75" t="s">
        <v>1793</v>
      </c>
      <c r="B75" t="s">
        <v>1882</v>
      </c>
      <c r="C75" t="s">
        <v>1883</v>
      </c>
      <c r="D75">
        <v>5</v>
      </c>
      <c r="E75" t="s">
        <v>1447</v>
      </c>
      <c r="F75" t="s">
        <v>1884</v>
      </c>
      <c r="G75" t="s">
        <v>1811</v>
      </c>
      <c r="H75" t="s">
        <v>1799</v>
      </c>
      <c r="I75">
        <v>927</v>
      </c>
      <c r="J75" t="s">
        <v>1799</v>
      </c>
      <c r="K75" t="s">
        <v>1799</v>
      </c>
      <c r="L75" t="s">
        <v>1799</v>
      </c>
      <c r="M75" t="s">
        <v>1799</v>
      </c>
      <c r="N75" t="s">
        <v>1799</v>
      </c>
      <c r="O75" s="184" t="str">
        <f>"["&amp;$C75&amp;"]["&amp;$D75&amp;"]["&amp;$F75&amp;"]"</f>
        <v>[S03_EmittingInstallations][5][NumberOfInstallations]</v>
      </c>
    </row>
    <row r="76" spans="1:15" x14ac:dyDescent="0.3">
      <c r="A76" t="s">
        <v>1793</v>
      </c>
      <c r="B76" t="s">
        <v>1882</v>
      </c>
      <c r="C76" t="s">
        <v>1885</v>
      </c>
      <c r="D76">
        <v>1</v>
      </c>
      <c r="E76" t="s">
        <v>1447</v>
      </c>
      <c r="F76" t="s">
        <v>1886</v>
      </c>
      <c r="G76" t="s">
        <v>1826</v>
      </c>
      <c r="H76" t="s">
        <v>1799</v>
      </c>
      <c r="I76" t="s">
        <v>1799</v>
      </c>
      <c r="J76" t="s">
        <v>1799</v>
      </c>
      <c r="K76" t="s">
        <v>1799</v>
      </c>
      <c r="L76" t="s">
        <v>1419</v>
      </c>
      <c r="M76" t="s">
        <v>1799</v>
      </c>
      <c r="N76" t="s">
        <v>1799</v>
      </c>
      <c r="O76" s="184" t="str">
        <f>"["&amp;$C76&amp;"]["&amp;$D76&amp;"]["&amp;$F76&amp;"]"</f>
        <v>[S03_ActivityPermits][1][ActivityPermitsIssued]</v>
      </c>
    </row>
    <row r="77" spans="1:15" x14ac:dyDescent="0.3">
      <c r="A77" t="s">
        <v>1793</v>
      </c>
      <c r="B77" t="s">
        <v>1882</v>
      </c>
      <c r="C77" t="s">
        <v>1885</v>
      </c>
      <c r="D77">
        <v>2</v>
      </c>
      <c r="E77" t="s">
        <v>1447</v>
      </c>
      <c r="F77" t="s">
        <v>1886</v>
      </c>
      <c r="G77" t="s">
        <v>1826</v>
      </c>
      <c r="H77" t="s">
        <v>1799</v>
      </c>
      <c r="I77" t="s">
        <v>1799</v>
      </c>
      <c r="J77" t="s">
        <v>1799</v>
      </c>
      <c r="K77" t="s">
        <v>1799</v>
      </c>
      <c r="L77" t="s">
        <v>1419</v>
      </c>
      <c r="M77" t="s">
        <v>1799</v>
      </c>
      <c r="N77" t="s">
        <v>1799</v>
      </c>
      <c r="O77" s="184" t="str">
        <f>"["&amp;$C77&amp;"]["&amp;$D77&amp;"]["&amp;$F77&amp;"]"</f>
        <v>[S03_ActivityPermits][2][ActivityPermitsIssued]</v>
      </c>
    </row>
    <row r="78" spans="1:15" x14ac:dyDescent="0.3">
      <c r="A78" t="s">
        <v>1793</v>
      </c>
      <c r="B78" t="s">
        <v>1882</v>
      </c>
      <c r="C78" t="s">
        <v>1885</v>
      </c>
      <c r="D78">
        <v>3</v>
      </c>
      <c r="E78" t="s">
        <v>1447</v>
      </c>
      <c r="F78" t="s">
        <v>1886</v>
      </c>
      <c r="G78" t="s">
        <v>1826</v>
      </c>
      <c r="H78" t="s">
        <v>1799</v>
      </c>
      <c r="I78" t="s">
        <v>1799</v>
      </c>
      <c r="J78" t="s">
        <v>1799</v>
      </c>
      <c r="K78" t="s">
        <v>1799</v>
      </c>
      <c r="L78" t="s">
        <v>1419</v>
      </c>
      <c r="M78" t="s">
        <v>1799</v>
      </c>
      <c r="N78" t="s">
        <v>1799</v>
      </c>
      <c r="O78" s="184" t="str">
        <f>"["&amp;$C78&amp;"]["&amp;$D78&amp;"]["&amp;$F78&amp;"]"</f>
        <v>[S03_ActivityPermits][3][ActivityPermitsIssued]</v>
      </c>
    </row>
    <row r="79" spans="1:15" x14ac:dyDescent="0.3">
      <c r="A79" t="s">
        <v>1793</v>
      </c>
      <c r="B79" t="s">
        <v>1882</v>
      </c>
      <c r="C79" t="s">
        <v>1885</v>
      </c>
      <c r="D79">
        <v>4</v>
      </c>
      <c r="E79" t="s">
        <v>1447</v>
      </c>
      <c r="F79" t="s">
        <v>1886</v>
      </c>
      <c r="G79" t="s">
        <v>1826</v>
      </c>
      <c r="H79" t="s">
        <v>1799</v>
      </c>
      <c r="I79" t="s">
        <v>1799</v>
      </c>
      <c r="J79" t="s">
        <v>1799</v>
      </c>
      <c r="K79" t="s">
        <v>1799</v>
      </c>
      <c r="L79" t="s">
        <v>1419</v>
      </c>
      <c r="M79" t="s">
        <v>1799</v>
      </c>
      <c r="N79" t="s">
        <v>1799</v>
      </c>
      <c r="O79" s="184" t="str">
        <f>"["&amp;$C79&amp;"]["&amp;$D79&amp;"]["&amp;$F79&amp;"]"</f>
        <v>[S03_ActivityPermits][4][ActivityPermitsIssued]</v>
      </c>
    </row>
    <row r="80" spans="1:15" x14ac:dyDescent="0.3">
      <c r="A80" t="s">
        <v>1793</v>
      </c>
      <c r="B80" t="s">
        <v>1882</v>
      </c>
      <c r="C80" t="s">
        <v>1885</v>
      </c>
      <c r="D80">
        <v>5</v>
      </c>
      <c r="E80" t="s">
        <v>1447</v>
      </c>
      <c r="F80" t="s">
        <v>1886</v>
      </c>
      <c r="G80" t="s">
        <v>1826</v>
      </c>
      <c r="H80" t="s">
        <v>1799</v>
      </c>
      <c r="I80" t="s">
        <v>1799</v>
      </c>
      <c r="J80" t="s">
        <v>1799</v>
      </c>
      <c r="K80" t="s">
        <v>1799</v>
      </c>
      <c r="L80" t="s">
        <v>1419</v>
      </c>
      <c r="M80" t="s">
        <v>1799</v>
      </c>
      <c r="N80" t="s">
        <v>1799</v>
      </c>
      <c r="O80" s="184" t="str">
        <f>"["&amp;$C80&amp;"]["&amp;$D80&amp;"]["&amp;$F80&amp;"]"</f>
        <v>[S03_ActivityPermits][5][ActivityPermitsIssued]</v>
      </c>
    </row>
    <row r="81" spans="1:15" x14ac:dyDescent="0.3">
      <c r="A81" t="s">
        <v>1793</v>
      </c>
      <c r="B81" t="s">
        <v>1882</v>
      </c>
      <c r="C81" t="s">
        <v>1885</v>
      </c>
      <c r="D81">
        <v>6</v>
      </c>
      <c r="E81" t="s">
        <v>1447</v>
      </c>
      <c r="F81" t="s">
        <v>1886</v>
      </c>
      <c r="G81" t="s">
        <v>1826</v>
      </c>
      <c r="H81" t="s">
        <v>1799</v>
      </c>
      <c r="I81" t="s">
        <v>1799</v>
      </c>
      <c r="J81" t="s">
        <v>1799</v>
      </c>
      <c r="K81" t="s">
        <v>1799</v>
      </c>
      <c r="L81" t="s">
        <v>1419</v>
      </c>
      <c r="M81" t="s">
        <v>1799</v>
      </c>
      <c r="N81" t="s">
        <v>1799</v>
      </c>
      <c r="O81" s="184" t="str">
        <f>"["&amp;$C81&amp;"]["&amp;$D81&amp;"]["&amp;$F81&amp;"]"</f>
        <v>[S03_ActivityPermits][6][ActivityPermitsIssued]</v>
      </c>
    </row>
    <row r="82" spans="1:15" x14ac:dyDescent="0.3">
      <c r="A82" t="s">
        <v>1793</v>
      </c>
      <c r="B82" t="s">
        <v>1882</v>
      </c>
      <c r="C82" t="s">
        <v>1885</v>
      </c>
      <c r="D82">
        <v>7</v>
      </c>
      <c r="E82" t="s">
        <v>1447</v>
      </c>
      <c r="F82" t="s">
        <v>1886</v>
      </c>
      <c r="G82" t="s">
        <v>1826</v>
      </c>
      <c r="H82" t="s">
        <v>1799</v>
      </c>
      <c r="I82" t="s">
        <v>1799</v>
      </c>
      <c r="J82" t="s">
        <v>1799</v>
      </c>
      <c r="K82" t="s">
        <v>1799</v>
      </c>
      <c r="L82" t="s">
        <v>1419</v>
      </c>
      <c r="M82" t="s">
        <v>1799</v>
      </c>
      <c r="N82" t="s">
        <v>1799</v>
      </c>
      <c r="O82" s="184" t="str">
        <f>"["&amp;$C82&amp;"]["&amp;$D82&amp;"]["&amp;$F82&amp;"]"</f>
        <v>[S03_ActivityPermits][7][ActivityPermitsIssued]</v>
      </c>
    </row>
    <row r="83" spans="1:15" x14ac:dyDescent="0.3">
      <c r="A83" t="s">
        <v>1793</v>
      </c>
      <c r="B83" t="s">
        <v>1882</v>
      </c>
      <c r="C83" t="s">
        <v>1885</v>
      </c>
      <c r="D83">
        <v>8</v>
      </c>
      <c r="E83" t="s">
        <v>1447</v>
      </c>
      <c r="F83" t="s">
        <v>1886</v>
      </c>
      <c r="G83" t="s">
        <v>1826</v>
      </c>
      <c r="H83" t="s">
        <v>1799</v>
      </c>
      <c r="I83" t="s">
        <v>1799</v>
      </c>
      <c r="J83" t="s">
        <v>1799</v>
      </c>
      <c r="K83" t="s">
        <v>1799</v>
      </c>
      <c r="L83" t="s">
        <v>1419</v>
      </c>
      <c r="M83" t="s">
        <v>1799</v>
      </c>
      <c r="N83" t="s">
        <v>1799</v>
      </c>
      <c r="O83" s="184" t="str">
        <f>"["&amp;$C83&amp;"]["&amp;$D83&amp;"]["&amp;$F83&amp;"]"</f>
        <v>[S03_ActivityPermits][8][ActivityPermitsIssued]</v>
      </c>
    </row>
    <row r="84" spans="1:15" x14ac:dyDescent="0.3">
      <c r="A84" t="s">
        <v>1793</v>
      </c>
      <c r="B84" t="s">
        <v>1882</v>
      </c>
      <c r="C84" t="s">
        <v>1885</v>
      </c>
      <c r="D84">
        <v>9</v>
      </c>
      <c r="E84" t="s">
        <v>1447</v>
      </c>
      <c r="F84" t="s">
        <v>1886</v>
      </c>
      <c r="G84" t="s">
        <v>1826</v>
      </c>
      <c r="H84" t="s">
        <v>1799</v>
      </c>
      <c r="I84" t="s">
        <v>1799</v>
      </c>
      <c r="J84" t="s">
        <v>1799</v>
      </c>
      <c r="K84" t="s">
        <v>1799</v>
      </c>
      <c r="L84" t="s">
        <v>1419</v>
      </c>
      <c r="M84" t="s">
        <v>1799</v>
      </c>
      <c r="N84" t="s">
        <v>1799</v>
      </c>
      <c r="O84" s="184" t="str">
        <f>"["&amp;$C84&amp;"]["&amp;$D84&amp;"]["&amp;$F84&amp;"]"</f>
        <v>[S03_ActivityPermits][9][ActivityPermitsIssued]</v>
      </c>
    </row>
    <row r="85" spans="1:15" x14ac:dyDescent="0.3">
      <c r="A85" t="s">
        <v>1793</v>
      </c>
      <c r="B85" t="s">
        <v>1882</v>
      </c>
      <c r="C85" t="s">
        <v>1885</v>
      </c>
      <c r="D85">
        <v>10</v>
      </c>
      <c r="E85" t="s">
        <v>1447</v>
      </c>
      <c r="F85" t="s">
        <v>1886</v>
      </c>
      <c r="G85" t="s">
        <v>1826</v>
      </c>
      <c r="H85" t="s">
        <v>1799</v>
      </c>
      <c r="I85" t="s">
        <v>1799</v>
      </c>
      <c r="J85" t="s">
        <v>1799</v>
      </c>
      <c r="K85" t="s">
        <v>1799</v>
      </c>
      <c r="L85" t="s">
        <v>1419</v>
      </c>
      <c r="M85" t="s">
        <v>1799</v>
      </c>
      <c r="N85" t="s">
        <v>1799</v>
      </c>
      <c r="O85" s="184" t="str">
        <f>"["&amp;$C85&amp;"]["&amp;$D85&amp;"]["&amp;$F85&amp;"]"</f>
        <v>[S03_ActivityPermits][10][ActivityPermitsIssued]</v>
      </c>
    </row>
    <row r="86" spans="1:15" x14ac:dyDescent="0.3">
      <c r="A86" t="s">
        <v>1793</v>
      </c>
      <c r="B86" t="s">
        <v>1882</v>
      </c>
      <c r="C86" t="s">
        <v>1885</v>
      </c>
      <c r="D86">
        <v>11</v>
      </c>
      <c r="E86" t="s">
        <v>1447</v>
      </c>
      <c r="F86" t="s">
        <v>1886</v>
      </c>
      <c r="G86" t="s">
        <v>1826</v>
      </c>
      <c r="H86" t="s">
        <v>1799</v>
      </c>
      <c r="I86" t="s">
        <v>1799</v>
      </c>
      <c r="J86" t="s">
        <v>1799</v>
      </c>
      <c r="K86" t="s">
        <v>1799</v>
      </c>
      <c r="L86" t="s">
        <v>1419</v>
      </c>
      <c r="M86" t="s">
        <v>1799</v>
      </c>
      <c r="N86" t="s">
        <v>1799</v>
      </c>
      <c r="O86" s="184" t="str">
        <f>"["&amp;$C86&amp;"]["&amp;$D86&amp;"]["&amp;$F86&amp;"]"</f>
        <v>[S03_ActivityPermits][11][ActivityPermitsIssued]</v>
      </c>
    </row>
    <row r="87" spans="1:15" x14ac:dyDescent="0.3">
      <c r="A87" t="s">
        <v>1793</v>
      </c>
      <c r="B87" t="s">
        <v>1882</v>
      </c>
      <c r="C87" t="s">
        <v>1885</v>
      </c>
      <c r="D87">
        <v>12</v>
      </c>
      <c r="E87" t="s">
        <v>1447</v>
      </c>
      <c r="F87" t="s">
        <v>1886</v>
      </c>
      <c r="G87" t="s">
        <v>1826</v>
      </c>
      <c r="H87" t="s">
        <v>1799</v>
      </c>
      <c r="I87" t="s">
        <v>1799</v>
      </c>
      <c r="J87" t="s">
        <v>1799</v>
      </c>
      <c r="K87" t="s">
        <v>1799</v>
      </c>
      <c r="L87" t="s">
        <v>1419</v>
      </c>
      <c r="M87" t="s">
        <v>1799</v>
      </c>
      <c r="N87" t="s">
        <v>1799</v>
      </c>
      <c r="O87" s="184" t="str">
        <f>"["&amp;$C87&amp;"]["&amp;$D87&amp;"]["&amp;$F87&amp;"]"</f>
        <v>[S03_ActivityPermits][12][ActivityPermitsIssued]</v>
      </c>
    </row>
    <row r="88" spans="1:15" x14ac:dyDescent="0.3">
      <c r="A88" t="s">
        <v>1793</v>
      </c>
      <c r="B88" t="s">
        <v>1882</v>
      </c>
      <c r="C88" t="s">
        <v>1885</v>
      </c>
      <c r="D88">
        <v>13</v>
      </c>
      <c r="E88" t="s">
        <v>1447</v>
      </c>
      <c r="F88" t="s">
        <v>1886</v>
      </c>
      <c r="G88" t="s">
        <v>1826</v>
      </c>
      <c r="H88" t="s">
        <v>1799</v>
      </c>
      <c r="I88" t="s">
        <v>1799</v>
      </c>
      <c r="J88" t="s">
        <v>1799</v>
      </c>
      <c r="K88" t="s">
        <v>1799</v>
      </c>
      <c r="L88" t="s">
        <v>1419</v>
      </c>
      <c r="M88" t="s">
        <v>1799</v>
      </c>
      <c r="N88" t="s">
        <v>1799</v>
      </c>
      <c r="O88" s="184" t="str">
        <f>"["&amp;$C88&amp;"]["&amp;$D88&amp;"]["&amp;$F88&amp;"]"</f>
        <v>[S03_ActivityPermits][13][ActivityPermitsIssued]</v>
      </c>
    </row>
    <row r="89" spans="1:15" x14ac:dyDescent="0.3">
      <c r="A89" t="s">
        <v>1793</v>
      </c>
      <c r="B89" t="s">
        <v>1882</v>
      </c>
      <c r="C89" t="s">
        <v>1885</v>
      </c>
      <c r="D89">
        <v>14</v>
      </c>
      <c r="E89" t="s">
        <v>1447</v>
      </c>
      <c r="F89" t="s">
        <v>1886</v>
      </c>
      <c r="G89" t="s">
        <v>1826</v>
      </c>
      <c r="H89" t="s">
        <v>1799</v>
      </c>
      <c r="I89" t="s">
        <v>1799</v>
      </c>
      <c r="J89" t="s">
        <v>1799</v>
      </c>
      <c r="K89" t="s">
        <v>1799</v>
      </c>
      <c r="L89" t="s">
        <v>1419</v>
      </c>
      <c r="M89" t="s">
        <v>1799</v>
      </c>
      <c r="N89" t="s">
        <v>1799</v>
      </c>
      <c r="O89" s="184" t="str">
        <f>"["&amp;$C89&amp;"]["&amp;$D89&amp;"]["&amp;$F89&amp;"]"</f>
        <v>[S03_ActivityPermits][14][ActivityPermitsIssued]</v>
      </c>
    </row>
    <row r="90" spans="1:15" x14ac:dyDescent="0.3">
      <c r="A90" t="s">
        <v>1793</v>
      </c>
      <c r="B90" t="s">
        <v>1882</v>
      </c>
      <c r="C90" t="s">
        <v>1885</v>
      </c>
      <c r="D90">
        <v>15</v>
      </c>
      <c r="E90" t="s">
        <v>1447</v>
      </c>
      <c r="F90" t="s">
        <v>1886</v>
      </c>
      <c r="G90" t="s">
        <v>1826</v>
      </c>
      <c r="H90" t="s">
        <v>1799</v>
      </c>
      <c r="I90" t="s">
        <v>1799</v>
      </c>
      <c r="J90" t="s">
        <v>1799</v>
      </c>
      <c r="K90" t="s">
        <v>1799</v>
      </c>
      <c r="L90" t="s">
        <v>1419</v>
      </c>
      <c r="M90" t="s">
        <v>1799</v>
      </c>
      <c r="N90" t="s">
        <v>1799</v>
      </c>
      <c r="O90" s="184" t="str">
        <f>"["&amp;$C90&amp;"]["&amp;$D90&amp;"]["&amp;$F90&amp;"]"</f>
        <v>[S03_ActivityPermits][15][ActivityPermitsIssued]</v>
      </c>
    </row>
    <row r="91" spans="1:15" x14ac:dyDescent="0.3">
      <c r="A91" t="s">
        <v>1793</v>
      </c>
      <c r="B91" t="s">
        <v>1882</v>
      </c>
      <c r="C91" t="s">
        <v>1885</v>
      </c>
      <c r="D91">
        <v>16</v>
      </c>
      <c r="E91" t="s">
        <v>1447</v>
      </c>
      <c r="F91" t="s">
        <v>1886</v>
      </c>
      <c r="G91" t="s">
        <v>1826</v>
      </c>
      <c r="H91" t="s">
        <v>1799</v>
      </c>
      <c r="I91" t="s">
        <v>1799</v>
      </c>
      <c r="J91" t="s">
        <v>1799</v>
      </c>
      <c r="K91" t="s">
        <v>1799</v>
      </c>
      <c r="L91" t="s">
        <v>1419</v>
      </c>
      <c r="M91" t="s">
        <v>1799</v>
      </c>
      <c r="N91" t="s">
        <v>1799</v>
      </c>
      <c r="O91" s="184" t="str">
        <f>"["&amp;$C91&amp;"]["&amp;$D91&amp;"]["&amp;$F91&amp;"]"</f>
        <v>[S03_ActivityPermits][16][ActivityPermitsIssued]</v>
      </c>
    </row>
    <row r="92" spans="1:15" x14ac:dyDescent="0.3">
      <c r="A92" t="s">
        <v>1793</v>
      </c>
      <c r="B92" t="s">
        <v>1882</v>
      </c>
      <c r="C92" t="s">
        <v>1885</v>
      </c>
      <c r="D92">
        <v>17</v>
      </c>
      <c r="E92" t="s">
        <v>1447</v>
      </c>
      <c r="F92" t="s">
        <v>1886</v>
      </c>
      <c r="G92" t="s">
        <v>1826</v>
      </c>
      <c r="H92" t="s">
        <v>1799</v>
      </c>
      <c r="I92" t="s">
        <v>1799</v>
      </c>
      <c r="J92" t="s">
        <v>1799</v>
      </c>
      <c r="K92" t="s">
        <v>1799</v>
      </c>
      <c r="L92" t="s">
        <v>1419</v>
      </c>
      <c r="M92" t="s">
        <v>1799</v>
      </c>
      <c r="N92" t="s">
        <v>1799</v>
      </c>
      <c r="O92" s="184" t="str">
        <f>"["&amp;$C92&amp;"]["&amp;$D92&amp;"]["&amp;$F92&amp;"]"</f>
        <v>[S03_ActivityPermits][17][ActivityPermitsIssued]</v>
      </c>
    </row>
    <row r="93" spans="1:15" x14ac:dyDescent="0.3">
      <c r="A93" t="s">
        <v>1793</v>
      </c>
      <c r="B93" t="s">
        <v>1882</v>
      </c>
      <c r="C93" t="s">
        <v>1885</v>
      </c>
      <c r="D93">
        <v>18</v>
      </c>
      <c r="E93" t="s">
        <v>1447</v>
      </c>
      <c r="F93" t="s">
        <v>1886</v>
      </c>
      <c r="G93" t="s">
        <v>1826</v>
      </c>
      <c r="H93" t="s">
        <v>1799</v>
      </c>
      <c r="I93" t="s">
        <v>1799</v>
      </c>
      <c r="J93" t="s">
        <v>1799</v>
      </c>
      <c r="K93" t="s">
        <v>1799</v>
      </c>
      <c r="L93" t="s">
        <v>1419</v>
      </c>
      <c r="M93" t="s">
        <v>1799</v>
      </c>
      <c r="N93" t="s">
        <v>1799</v>
      </c>
      <c r="O93" s="184" t="str">
        <f>"["&amp;$C93&amp;"]["&amp;$D93&amp;"]["&amp;$F93&amp;"]"</f>
        <v>[S03_ActivityPermits][18][ActivityPermitsIssued]</v>
      </c>
    </row>
    <row r="94" spans="1:15" x14ac:dyDescent="0.3">
      <c r="A94" t="s">
        <v>1793</v>
      </c>
      <c r="B94" t="s">
        <v>1882</v>
      </c>
      <c r="C94" t="s">
        <v>1885</v>
      </c>
      <c r="D94">
        <v>19</v>
      </c>
      <c r="E94" t="s">
        <v>1447</v>
      </c>
      <c r="F94" t="s">
        <v>1886</v>
      </c>
      <c r="G94" t="s">
        <v>1826</v>
      </c>
      <c r="H94" t="s">
        <v>1799</v>
      </c>
      <c r="I94" t="s">
        <v>1799</v>
      </c>
      <c r="J94" t="s">
        <v>1799</v>
      </c>
      <c r="K94" t="s">
        <v>1799</v>
      </c>
      <c r="L94" t="s">
        <v>1419</v>
      </c>
      <c r="M94" t="s">
        <v>1799</v>
      </c>
      <c r="N94" t="s">
        <v>1799</v>
      </c>
      <c r="O94" s="184" t="str">
        <f>"["&amp;$C94&amp;"]["&amp;$D94&amp;"]["&amp;$F94&amp;"]"</f>
        <v>[S03_ActivityPermits][19][ActivityPermitsIssued]</v>
      </c>
    </row>
    <row r="95" spans="1:15" x14ac:dyDescent="0.3">
      <c r="A95" t="s">
        <v>1793</v>
      </c>
      <c r="B95" t="s">
        <v>1882</v>
      </c>
      <c r="C95" t="s">
        <v>1885</v>
      </c>
      <c r="D95">
        <v>20</v>
      </c>
      <c r="E95" t="s">
        <v>1447</v>
      </c>
      <c r="F95" t="s">
        <v>1886</v>
      </c>
      <c r="G95" t="s">
        <v>1826</v>
      </c>
      <c r="H95" t="s">
        <v>1799</v>
      </c>
      <c r="I95" t="s">
        <v>1799</v>
      </c>
      <c r="J95" t="s">
        <v>1799</v>
      </c>
      <c r="K95" t="s">
        <v>1799</v>
      </c>
      <c r="L95" t="s">
        <v>1419</v>
      </c>
      <c r="M95" t="s">
        <v>1799</v>
      </c>
      <c r="N95" t="s">
        <v>1799</v>
      </c>
      <c r="O95" s="184" t="str">
        <f>"["&amp;$C95&amp;"]["&amp;$D95&amp;"]["&amp;$F95&amp;"]"</f>
        <v>[S03_ActivityPermits][20][ActivityPermitsIssued]</v>
      </c>
    </row>
    <row r="96" spans="1:15" x14ac:dyDescent="0.3">
      <c r="A96" t="s">
        <v>1793</v>
      </c>
      <c r="B96" t="s">
        <v>1882</v>
      </c>
      <c r="C96" t="s">
        <v>1885</v>
      </c>
      <c r="D96">
        <v>21</v>
      </c>
      <c r="E96" t="s">
        <v>1447</v>
      </c>
      <c r="F96" t="s">
        <v>1886</v>
      </c>
      <c r="G96" t="s">
        <v>1826</v>
      </c>
      <c r="H96" t="s">
        <v>1799</v>
      </c>
      <c r="I96" t="s">
        <v>1799</v>
      </c>
      <c r="J96" t="s">
        <v>1799</v>
      </c>
      <c r="K96" t="s">
        <v>1799</v>
      </c>
      <c r="L96" t="s">
        <v>1419</v>
      </c>
      <c r="M96" t="s">
        <v>1799</v>
      </c>
      <c r="N96" t="s">
        <v>1799</v>
      </c>
      <c r="O96" s="184" t="str">
        <f>"["&amp;$C96&amp;"]["&amp;$D96&amp;"]["&amp;$F96&amp;"]"</f>
        <v>[S03_ActivityPermits][21][ActivityPermitsIssued]</v>
      </c>
    </row>
    <row r="97" spans="1:15" x14ac:dyDescent="0.3">
      <c r="A97" t="s">
        <v>1793</v>
      </c>
      <c r="B97" t="s">
        <v>1882</v>
      </c>
      <c r="C97" t="s">
        <v>1885</v>
      </c>
      <c r="D97">
        <v>22</v>
      </c>
      <c r="E97" t="s">
        <v>1447</v>
      </c>
      <c r="F97" t="s">
        <v>1886</v>
      </c>
      <c r="G97" t="s">
        <v>1826</v>
      </c>
      <c r="H97" t="s">
        <v>1799</v>
      </c>
      <c r="I97" t="s">
        <v>1799</v>
      </c>
      <c r="J97" t="s">
        <v>1799</v>
      </c>
      <c r="K97" t="s">
        <v>1799</v>
      </c>
      <c r="L97" t="s">
        <v>1419</v>
      </c>
      <c r="M97" t="s">
        <v>1799</v>
      </c>
      <c r="N97" t="s">
        <v>1799</v>
      </c>
      <c r="O97" s="184" t="str">
        <f>"["&amp;$C97&amp;"]["&amp;$D97&amp;"]["&amp;$F97&amp;"]"</f>
        <v>[S03_ActivityPermits][22][ActivityPermitsIssued]</v>
      </c>
    </row>
    <row r="98" spans="1:15" x14ac:dyDescent="0.3">
      <c r="A98" t="s">
        <v>1793</v>
      </c>
      <c r="B98" t="s">
        <v>1882</v>
      </c>
      <c r="C98" t="s">
        <v>1885</v>
      </c>
      <c r="D98">
        <v>23</v>
      </c>
      <c r="E98" t="s">
        <v>1447</v>
      </c>
      <c r="F98" t="s">
        <v>1886</v>
      </c>
      <c r="G98" t="s">
        <v>1826</v>
      </c>
      <c r="H98" t="s">
        <v>1799</v>
      </c>
      <c r="I98" t="s">
        <v>1799</v>
      </c>
      <c r="J98" t="s">
        <v>1799</v>
      </c>
      <c r="K98" t="s">
        <v>1799</v>
      </c>
      <c r="L98" t="s">
        <v>1419</v>
      </c>
      <c r="M98" t="s">
        <v>1799</v>
      </c>
      <c r="N98" t="s">
        <v>1799</v>
      </c>
      <c r="O98" s="184" t="str">
        <f>"["&amp;$C98&amp;"]["&amp;$D98&amp;"]["&amp;$F98&amp;"]"</f>
        <v>[S03_ActivityPermits][23][ActivityPermitsIssued]</v>
      </c>
    </row>
    <row r="99" spans="1:15" x14ac:dyDescent="0.3">
      <c r="A99" t="s">
        <v>1793</v>
      </c>
      <c r="B99" t="s">
        <v>1882</v>
      </c>
      <c r="C99" t="s">
        <v>1885</v>
      </c>
      <c r="D99">
        <v>24</v>
      </c>
      <c r="E99" t="s">
        <v>1447</v>
      </c>
      <c r="F99" t="s">
        <v>1886</v>
      </c>
      <c r="G99" t="s">
        <v>1826</v>
      </c>
      <c r="H99" t="s">
        <v>1799</v>
      </c>
      <c r="I99" t="s">
        <v>1799</v>
      </c>
      <c r="J99" t="s">
        <v>1799</v>
      </c>
      <c r="K99" t="s">
        <v>1799</v>
      </c>
      <c r="L99" t="s">
        <v>1419</v>
      </c>
      <c r="M99" t="s">
        <v>1799</v>
      </c>
      <c r="N99" t="s">
        <v>1799</v>
      </c>
      <c r="O99" s="184" t="str">
        <f>"["&amp;$C99&amp;"]["&amp;$D99&amp;"]["&amp;$F99&amp;"]"</f>
        <v>[S03_ActivityPermits][24][ActivityPermitsIssued]</v>
      </c>
    </row>
    <row r="100" spans="1:15" x14ac:dyDescent="0.3">
      <c r="A100" t="s">
        <v>1793</v>
      </c>
      <c r="B100" t="s">
        <v>1882</v>
      </c>
      <c r="C100" t="s">
        <v>1885</v>
      </c>
      <c r="D100">
        <v>25</v>
      </c>
      <c r="E100" t="s">
        <v>1447</v>
      </c>
      <c r="F100" t="s">
        <v>1886</v>
      </c>
      <c r="G100" t="s">
        <v>1826</v>
      </c>
      <c r="H100" t="s">
        <v>1799</v>
      </c>
      <c r="I100" t="s">
        <v>1799</v>
      </c>
      <c r="J100" t="s">
        <v>1799</v>
      </c>
      <c r="K100" t="s">
        <v>1799</v>
      </c>
      <c r="L100" t="s">
        <v>1419</v>
      </c>
      <c r="M100" t="s">
        <v>1799</v>
      </c>
      <c r="N100" t="s">
        <v>1799</v>
      </c>
      <c r="O100" s="184" t="str">
        <f>"["&amp;$C100&amp;"]["&amp;$D100&amp;"]["&amp;$F100&amp;"]"</f>
        <v>[S03_ActivityPermits][25][ActivityPermitsIssued]</v>
      </c>
    </row>
    <row r="101" spans="1:15" x14ac:dyDescent="0.3">
      <c r="A101" t="s">
        <v>1793</v>
      </c>
      <c r="B101" t="s">
        <v>1882</v>
      </c>
      <c r="C101" t="s">
        <v>1885</v>
      </c>
      <c r="D101">
        <v>26</v>
      </c>
      <c r="E101" t="s">
        <v>1447</v>
      </c>
      <c r="F101" t="s">
        <v>1886</v>
      </c>
      <c r="G101" t="s">
        <v>1826</v>
      </c>
      <c r="H101" t="s">
        <v>1799</v>
      </c>
      <c r="I101" t="s">
        <v>1799</v>
      </c>
      <c r="J101" t="s">
        <v>1799</v>
      </c>
      <c r="K101" t="s">
        <v>1799</v>
      </c>
      <c r="L101" t="s">
        <v>1447</v>
      </c>
      <c r="M101" t="s">
        <v>1799</v>
      </c>
      <c r="N101" t="s">
        <v>1799</v>
      </c>
      <c r="O101" s="184" t="str">
        <f>"["&amp;$C101&amp;"]["&amp;$D101&amp;"]["&amp;$F101&amp;"]"</f>
        <v>[S03_ActivityPermits][26][ActivityPermitsIssued]</v>
      </c>
    </row>
    <row r="102" spans="1:15" x14ac:dyDescent="0.3">
      <c r="A102" t="s">
        <v>1793</v>
      </c>
      <c r="B102" t="s">
        <v>1882</v>
      </c>
      <c r="C102" t="s">
        <v>1885</v>
      </c>
      <c r="D102">
        <v>27</v>
      </c>
      <c r="E102" t="s">
        <v>1447</v>
      </c>
      <c r="F102" t="s">
        <v>1886</v>
      </c>
      <c r="G102" t="s">
        <v>1826</v>
      </c>
      <c r="H102" t="s">
        <v>1799</v>
      </c>
      <c r="I102" t="s">
        <v>1799</v>
      </c>
      <c r="J102" t="s">
        <v>1799</v>
      </c>
      <c r="K102" t="s">
        <v>1799</v>
      </c>
      <c r="L102" t="s">
        <v>1447</v>
      </c>
      <c r="M102" t="s">
        <v>1799</v>
      </c>
      <c r="N102" t="s">
        <v>1799</v>
      </c>
      <c r="O102" s="184" t="str">
        <f>"["&amp;$C102&amp;"]["&amp;$D102&amp;"]["&amp;$F102&amp;"]"</f>
        <v>[S03_ActivityPermits][27][ActivityPermitsIssued]</v>
      </c>
    </row>
    <row r="103" spans="1:15" x14ac:dyDescent="0.3">
      <c r="A103" t="s">
        <v>1793</v>
      </c>
      <c r="B103" t="s">
        <v>1882</v>
      </c>
      <c r="C103" t="s">
        <v>1885</v>
      </c>
      <c r="D103">
        <v>28</v>
      </c>
      <c r="E103" t="s">
        <v>1447</v>
      </c>
      <c r="F103" t="s">
        <v>1886</v>
      </c>
      <c r="G103" t="s">
        <v>1826</v>
      </c>
      <c r="H103" t="s">
        <v>1799</v>
      </c>
      <c r="I103" t="s">
        <v>1799</v>
      </c>
      <c r="J103" t="s">
        <v>1799</v>
      </c>
      <c r="K103" t="s">
        <v>1799</v>
      </c>
      <c r="L103" t="s">
        <v>1447</v>
      </c>
      <c r="M103" t="s">
        <v>1799</v>
      </c>
      <c r="N103" t="s">
        <v>1799</v>
      </c>
      <c r="O103" s="184" t="str">
        <f>"["&amp;$C103&amp;"]["&amp;$D103&amp;"]["&amp;$F103&amp;"]"</f>
        <v>[S03_ActivityPermits][28][ActivityPermitsIssued]</v>
      </c>
    </row>
    <row r="104" spans="1:15" x14ac:dyDescent="0.3">
      <c r="A104" t="s">
        <v>1793</v>
      </c>
      <c r="B104" t="s">
        <v>1887</v>
      </c>
      <c r="C104" t="s">
        <v>1888</v>
      </c>
      <c r="D104">
        <v>0</v>
      </c>
      <c r="E104" t="s">
        <v>1447</v>
      </c>
      <c r="F104" t="s">
        <v>1888</v>
      </c>
      <c r="G104" t="s">
        <v>1826</v>
      </c>
      <c r="H104" t="s">
        <v>1799</v>
      </c>
      <c r="I104" t="s">
        <v>1799</v>
      </c>
      <c r="J104" t="s">
        <v>1799</v>
      </c>
      <c r="K104" t="s">
        <v>1799</v>
      </c>
      <c r="L104" t="s">
        <v>1419</v>
      </c>
      <c r="M104" t="s">
        <v>1799</v>
      </c>
      <c r="N104" t="s">
        <v>1799</v>
      </c>
      <c r="O104" s="184" t="str">
        <f>"["&amp;$C104&amp;"]["&amp;$D104&amp;"]["&amp;$F104&amp;"]"</f>
        <v>[InstallationsExcludedArt27][0][InstallationsExcludedArt27]</v>
      </c>
    </row>
    <row r="105" spans="1:15" x14ac:dyDescent="0.3">
      <c r="A105" t="s">
        <v>1793</v>
      </c>
      <c r="B105" t="s">
        <v>1887</v>
      </c>
      <c r="C105" t="s">
        <v>1889</v>
      </c>
      <c r="D105">
        <v>1</v>
      </c>
      <c r="E105" t="s">
        <v>1447</v>
      </c>
      <c r="F105" t="s">
        <v>1890</v>
      </c>
      <c r="G105" t="s">
        <v>1737</v>
      </c>
      <c r="H105" t="s">
        <v>1799</v>
      </c>
      <c r="I105" t="s">
        <v>1799</v>
      </c>
      <c r="J105" t="s">
        <v>1799</v>
      </c>
      <c r="K105" t="s">
        <v>1799</v>
      </c>
      <c r="L105" t="s">
        <v>1423</v>
      </c>
      <c r="M105" t="s">
        <v>1799</v>
      </c>
      <c r="N105" t="s">
        <v>1799</v>
      </c>
      <c r="O105" s="184" t="str">
        <f>"["&amp;$C105&amp;"]["&amp;$D105&amp;"]["&amp;$F105&amp;"]"</f>
        <v>[S03_InstallationsExcludedArt27Detail][1][ExclusionArticle]</v>
      </c>
    </row>
    <row r="106" spans="1:15" x14ac:dyDescent="0.3">
      <c r="A106" t="s">
        <v>1793</v>
      </c>
      <c r="B106" t="s">
        <v>1887</v>
      </c>
      <c r="C106" t="s">
        <v>1889</v>
      </c>
      <c r="D106">
        <v>1</v>
      </c>
      <c r="E106" t="s">
        <v>1447</v>
      </c>
      <c r="F106" t="s">
        <v>1891</v>
      </c>
      <c r="G106" t="s">
        <v>1892</v>
      </c>
      <c r="H106" t="s">
        <v>1799</v>
      </c>
      <c r="I106" t="s">
        <v>1799</v>
      </c>
      <c r="J106">
        <v>150000</v>
      </c>
      <c r="K106" t="s">
        <v>1799</v>
      </c>
      <c r="L106" t="s">
        <v>1799</v>
      </c>
      <c r="M106" t="s">
        <v>1799</v>
      </c>
      <c r="N106" t="s">
        <v>1799</v>
      </c>
      <c r="O106" s="184" t="str">
        <f>"["&amp;$C106&amp;"]["&amp;$D106&amp;"]["&amp;$F106&amp;"]"</f>
        <v>[S03_InstallationsExcludedArt27Detail][1][InstallationsExcludedEmissions]</v>
      </c>
    </row>
    <row r="107" spans="1:15" x14ac:dyDescent="0.3">
      <c r="A107" t="s">
        <v>1793</v>
      </c>
      <c r="B107" t="s">
        <v>1887</v>
      </c>
      <c r="C107" t="s">
        <v>1889</v>
      </c>
      <c r="D107">
        <v>1</v>
      </c>
      <c r="E107" t="s">
        <v>1447</v>
      </c>
      <c r="F107" t="s">
        <v>1893</v>
      </c>
      <c r="G107" t="s">
        <v>1811</v>
      </c>
      <c r="H107" t="s">
        <v>1799</v>
      </c>
      <c r="I107">
        <v>0</v>
      </c>
      <c r="J107" t="s">
        <v>1799</v>
      </c>
      <c r="K107" t="s">
        <v>1799</v>
      </c>
      <c r="L107" t="s">
        <v>1799</v>
      </c>
      <c r="M107" t="s">
        <v>1799</v>
      </c>
      <c r="N107" t="s">
        <v>1799</v>
      </c>
      <c r="O107" s="184" t="str">
        <f>"["&amp;$C107&amp;"]["&amp;$D107&amp;"]["&amp;$F107&amp;"]"</f>
        <v>[S03_InstallationsExcludedArt27Detail][1][InstallationsExceededThreshold]</v>
      </c>
    </row>
    <row r="108" spans="1:15" x14ac:dyDescent="0.3">
      <c r="A108" t="s">
        <v>1793</v>
      </c>
      <c r="B108" t="s">
        <v>1887</v>
      </c>
      <c r="C108" t="s">
        <v>1894</v>
      </c>
      <c r="D108">
        <v>0</v>
      </c>
      <c r="E108" t="s">
        <v>1447</v>
      </c>
      <c r="F108" t="s">
        <v>1895</v>
      </c>
      <c r="G108" t="s">
        <v>1811</v>
      </c>
      <c r="H108" t="s">
        <v>1799</v>
      </c>
      <c r="I108">
        <v>0</v>
      </c>
      <c r="J108" t="s">
        <v>1799</v>
      </c>
      <c r="K108" t="s">
        <v>1799</v>
      </c>
      <c r="L108" t="s">
        <v>1799</v>
      </c>
      <c r="M108" t="s">
        <v>1799</v>
      </c>
      <c r="N108" t="s">
        <v>1799</v>
      </c>
      <c r="O108" s="184" t="str">
        <f>"["&amp;$C108&amp;"]["&amp;$D108&amp;"]["&amp;$F108&amp;"]"</f>
        <v>[S03_InstallationsExcludedClosed][0][ClosedArt27]</v>
      </c>
    </row>
    <row r="109" spans="1:15" x14ac:dyDescent="0.3">
      <c r="A109" t="s">
        <v>1793</v>
      </c>
      <c r="B109" t="s">
        <v>1896</v>
      </c>
      <c r="C109" t="s">
        <v>1897</v>
      </c>
      <c r="D109">
        <v>1</v>
      </c>
      <c r="E109" t="s">
        <v>1447</v>
      </c>
      <c r="F109" t="s">
        <v>1898</v>
      </c>
      <c r="G109" t="s">
        <v>1811</v>
      </c>
      <c r="H109" t="s">
        <v>1799</v>
      </c>
      <c r="I109">
        <v>53</v>
      </c>
      <c r="J109" t="s">
        <v>1799</v>
      </c>
      <c r="K109" t="s">
        <v>1799</v>
      </c>
      <c r="L109" t="s">
        <v>1799</v>
      </c>
      <c r="M109" t="s">
        <v>1799</v>
      </c>
      <c r="N109" t="s">
        <v>1799</v>
      </c>
      <c r="O109" s="184" t="str">
        <f>"["&amp;$C109&amp;"]["&amp;$D109&amp;"]["&amp;$F109&amp;"]"</f>
        <v>[S03_AircraftAnnex1Activities][1][NumberCommercialOperators]</v>
      </c>
    </row>
    <row r="110" spans="1:15" x14ac:dyDescent="0.3">
      <c r="A110" t="s">
        <v>1793</v>
      </c>
      <c r="B110" t="s">
        <v>1896</v>
      </c>
      <c r="C110" t="s">
        <v>1897</v>
      </c>
      <c r="D110">
        <v>2</v>
      </c>
      <c r="E110" t="s">
        <v>1447</v>
      </c>
      <c r="F110" t="s">
        <v>1898</v>
      </c>
      <c r="G110" t="s">
        <v>1811</v>
      </c>
      <c r="H110" t="s">
        <v>1799</v>
      </c>
      <c r="I110">
        <v>4</v>
      </c>
      <c r="J110" t="s">
        <v>1799</v>
      </c>
      <c r="K110" t="s">
        <v>1799</v>
      </c>
      <c r="L110" t="s">
        <v>1799</v>
      </c>
      <c r="M110" t="s">
        <v>1799</v>
      </c>
      <c r="N110" t="s">
        <v>1799</v>
      </c>
      <c r="O110" s="184" t="str">
        <f>"["&amp;$C110&amp;"]["&amp;$D110&amp;"]["&amp;$F110&amp;"]"</f>
        <v>[S03_AircraftAnnex1Activities][2][NumberCommercialOperators]</v>
      </c>
    </row>
    <row r="111" spans="1:15" x14ac:dyDescent="0.3">
      <c r="A111" t="s">
        <v>1793</v>
      </c>
      <c r="B111" t="s">
        <v>1896</v>
      </c>
      <c r="C111" t="s">
        <v>1897</v>
      </c>
      <c r="D111">
        <v>3</v>
      </c>
      <c r="E111" t="s">
        <v>1447</v>
      </c>
      <c r="F111" t="s">
        <v>1898</v>
      </c>
      <c r="G111" t="s">
        <v>1811</v>
      </c>
      <c r="H111" t="s">
        <v>1799</v>
      </c>
      <c r="I111">
        <v>57</v>
      </c>
      <c r="J111" t="s">
        <v>1799</v>
      </c>
      <c r="K111" t="s">
        <v>1799</v>
      </c>
      <c r="L111" t="s">
        <v>1799</v>
      </c>
      <c r="M111" t="s">
        <v>1799</v>
      </c>
      <c r="N111" t="s">
        <v>1799</v>
      </c>
      <c r="O111" s="184" t="str">
        <f>"["&amp;$C111&amp;"]["&amp;$D111&amp;"]["&amp;$F111&amp;"]"</f>
        <v>[S03_AircraftAnnex1Activities][3][NumberCommercialOperators]</v>
      </c>
    </row>
    <row r="112" spans="1:15" x14ac:dyDescent="0.3">
      <c r="A112" t="s">
        <v>1793</v>
      </c>
      <c r="B112" t="s">
        <v>1896</v>
      </c>
      <c r="C112" t="s">
        <v>1897</v>
      </c>
      <c r="D112">
        <v>2</v>
      </c>
      <c r="E112" t="s">
        <v>1447</v>
      </c>
      <c r="F112" t="s">
        <v>1899</v>
      </c>
      <c r="G112" t="s">
        <v>1811</v>
      </c>
      <c r="H112" t="s">
        <v>1799</v>
      </c>
      <c r="I112">
        <v>11</v>
      </c>
      <c r="J112" t="s">
        <v>1799</v>
      </c>
      <c r="K112" t="s">
        <v>1799</v>
      </c>
      <c r="L112" t="s">
        <v>1799</v>
      </c>
      <c r="M112" t="s">
        <v>1799</v>
      </c>
      <c r="N112" t="s">
        <v>1799</v>
      </c>
      <c r="O112" s="184" t="str">
        <f>"["&amp;$C112&amp;"]["&amp;$D112&amp;"]["&amp;$F112&amp;"]"</f>
        <v>[S03_AircraftAnnex1Activities][2][NumberNonCommercialOperators]</v>
      </c>
    </row>
    <row r="113" spans="1:15" x14ac:dyDescent="0.3">
      <c r="A113" t="s">
        <v>1793</v>
      </c>
      <c r="B113" t="s">
        <v>1896</v>
      </c>
      <c r="C113" t="s">
        <v>1897</v>
      </c>
      <c r="D113">
        <v>3</v>
      </c>
      <c r="E113" t="s">
        <v>1447</v>
      </c>
      <c r="F113" t="s">
        <v>1899</v>
      </c>
      <c r="G113" t="s">
        <v>1811</v>
      </c>
      <c r="H113" t="s">
        <v>1799</v>
      </c>
      <c r="I113">
        <v>11</v>
      </c>
      <c r="J113" t="s">
        <v>1799</v>
      </c>
      <c r="K113" t="s">
        <v>1799</v>
      </c>
      <c r="L113" t="s">
        <v>1799</v>
      </c>
      <c r="M113" t="s">
        <v>1799</v>
      </c>
      <c r="N113" t="s">
        <v>1799</v>
      </c>
      <c r="O113" s="184" t="str">
        <f>"["&amp;$C113&amp;"]["&amp;$D113&amp;"]["&amp;$F113&amp;"]"</f>
        <v>[S03_AircraftAnnex1Activities][3][NumberNonCommercialOperators]</v>
      </c>
    </row>
    <row r="114" spans="1:15" x14ac:dyDescent="0.3">
      <c r="A114" t="s">
        <v>1793</v>
      </c>
      <c r="B114" t="s">
        <v>1896</v>
      </c>
      <c r="C114" t="s">
        <v>1897</v>
      </c>
      <c r="D114">
        <v>1</v>
      </c>
      <c r="E114" t="s">
        <v>1447</v>
      </c>
      <c r="F114" t="s">
        <v>1900</v>
      </c>
      <c r="G114" t="s">
        <v>1811</v>
      </c>
      <c r="H114" t="s">
        <v>1799</v>
      </c>
      <c r="I114">
        <v>53</v>
      </c>
      <c r="J114" t="s">
        <v>1799</v>
      </c>
      <c r="K114" t="s">
        <v>1799</v>
      </c>
      <c r="L114" t="s">
        <v>1799</v>
      </c>
      <c r="M114" t="s">
        <v>1799</v>
      </c>
      <c r="N114" t="s">
        <v>1799</v>
      </c>
      <c r="O114" s="184" t="str">
        <f>"["&amp;$C114&amp;"]["&amp;$D114&amp;"]["&amp;$F114&amp;"]"</f>
        <v>[S03_AircraftAnnex1Activities][1][NumberTotalOperators]</v>
      </c>
    </row>
    <row r="115" spans="1:15" x14ac:dyDescent="0.3">
      <c r="A115" t="s">
        <v>1793</v>
      </c>
      <c r="B115" t="s">
        <v>1896</v>
      </c>
      <c r="C115" t="s">
        <v>1897</v>
      </c>
      <c r="D115">
        <v>2</v>
      </c>
      <c r="E115" t="s">
        <v>1447</v>
      </c>
      <c r="F115" t="s">
        <v>1900</v>
      </c>
      <c r="G115" t="s">
        <v>1811</v>
      </c>
      <c r="H115" t="s">
        <v>1799</v>
      </c>
      <c r="I115">
        <v>15</v>
      </c>
      <c r="J115" t="s">
        <v>1799</v>
      </c>
      <c r="K115" t="s">
        <v>1799</v>
      </c>
      <c r="L115" t="s">
        <v>1799</v>
      </c>
      <c r="M115" t="s">
        <v>1799</v>
      </c>
      <c r="N115" t="s">
        <v>1799</v>
      </c>
      <c r="O115" s="184" t="str">
        <f>"["&amp;$C115&amp;"]["&amp;$D115&amp;"]["&amp;$F115&amp;"]"</f>
        <v>[S03_AircraftAnnex1Activities][2][NumberTotalOperators]</v>
      </c>
    </row>
    <row r="116" spans="1:15" x14ac:dyDescent="0.3">
      <c r="A116" t="s">
        <v>1793</v>
      </c>
      <c r="B116" t="s">
        <v>1896</v>
      </c>
      <c r="C116" t="s">
        <v>1897</v>
      </c>
      <c r="D116">
        <v>3</v>
      </c>
      <c r="E116" t="s">
        <v>1447</v>
      </c>
      <c r="F116" t="s">
        <v>1900</v>
      </c>
      <c r="G116" t="s">
        <v>1811</v>
      </c>
      <c r="H116" t="s">
        <v>1799</v>
      </c>
      <c r="I116">
        <v>68</v>
      </c>
      <c r="J116" t="s">
        <v>1799</v>
      </c>
      <c r="K116" t="s">
        <v>1799</v>
      </c>
      <c r="L116" t="s">
        <v>1799</v>
      </c>
      <c r="M116" t="s">
        <v>1799</v>
      </c>
      <c r="N116" t="s">
        <v>1799</v>
      </c>
      <c r="O116" s="184" t="str">
        <f>"["&amp;$C116&amp;"]["&amp;$D116&amp;"]["&amp;$F116&amp;"]"</f>
        <v>[S03_AircraftAnnex1Activities][3][NumberTotalOperators]</v>
      </c>
    </row>
    <row r="117" spans="1:15" x14ac:dyDescent="0.3">
      <c r="A117" t="s">
        <v>1793</v>
      </c>
      <c r="B117" t="s">
        <v>1901</v>
      </c>
      <c r="C117" t="s">
        <v>1902</v>
      </c>
      <c r="D117">
        <v>1</v>
      </c>
      <c r="E117" t="s">
        <v>1447</v>
      </c>
      <c r="F117" t="s">
        <v>1903</v>
      </c>
      <c r="G117" t="s">
        <v>1737</v>
      </c>
      <c r="H117" t="s">
        <v>1799</v>
      </c>
      <c r="I117" t="s">
        <v>1799</v>
      </c>
      <c r="J117" t="s">
        <v>1799</v>
      </c>
      <c r="K117" t="s">
        <v>1799</v>
      </c>
      <c r="L117" t="s">
        <v>1419</v>
      </c>
      <c r="M117" t="s">
        <v>1799</v>
      </c>
      <c r="N117" t="s">
        <v>1799</v>
      </c>
      <c r="O117" s="184" t="str">
        <f>"["&amp;$C117&amp;"]["&amp;$D117&amp;"]["&amp;$F117&amp;"]"</f>
        <v>[S04_IEDProcedureRequirementsIntegratedYes][1][IntegrationYesNo]</v>
      </c>
    </row>
    <row r="118" spans="1:15" x14ac:dyDescent="0.3">
      <c r="A118" t="s">
        <v>1793</v>
      </c>
      <c r="B118" t="s">
        <v>1901</v>
      </c>
      <c r="C118" t="s">
        <v>1902</v>
      </c>
      <c r="D118">
        <v>4</v>
      </c>
      <c r="E118" t="s">
        <v>1447</v>
      </c>
      <c r="F118" t="s">
        <v>1903</v>
      </c>
      <c r="G118" t="s">
        <v>1737</v>
      </c>
      <c r="H118" t="s">
        <v>1799</v>
      </c>
      <c r="I118" t="s">
        <v>1799</v>
      </c>
      <c r="J118" t="s">
        <v>1799</v>
      </c>
      <c r="K118" t="s">
        <v>1799</v>
      </c>
      <c r="L118" t="s">
        <v>1447</v>
      </c>
      <c r="M118" t="s">
        <v>1799</v>
      </c>
      <c r="N118" t="s">
        <v>1799</v>
      </c>
      <c r="O118" s="184" t="str">
        <f>"["&amp;$C118&amp;"]["&amp;$D118&amp;"]["&amp;$F118&amp;"]"</f>
        <v>[S04_IEDProcedureRequirementsIntegratedYes][4][IntegrationYesNo]</v>
      </c>
    </row>
    <row r="119" spans="1:15" x14ac:dyDescent="0.3">
      <c r="A119" t="s">
        <v>1793</v>
      </c>
      <c r="B119" t="s">
        <v>1901</v>
      </c>
      <c r="C119" t="s">
        <v>1902</v>
      </c>
      <c r="D119">
        <v>5</v>
      </c>
      <c r="E119" t="s">
        <v>1447</v>
      </c>
      <c r="F119" t="s">
        <v>1903</v>
      </c>
      <c r="G119" t="s">
        <v>1737</v>
      </c>
      <c r="H119" t="s">
        <v>1799</v>
      </c>
      <c r="I119" t="s">
        <v>1799</v>
      </c>
      <c r="J119" t="s">
        <v>1799</v>
      </c>
      <c r="K119" t="s">
        <v>1799</v>
      </c>
      <c r="L119" t="s">
        <v>1447</v>
      </c>
      <c r="M119" t="s">
        <v>1799</v>
      </c>
      <c r="N119" t="s">
        <v>1799</v>
      </c>
      <c r="O119" s="184" t="str">
        <f>"["&amp;$C119&amp;"]["&amp;$D119&amp;"]["&amp;$F119&amp;"]"</f>
        <v>[S04_IEDProcedureRequirementsIntegratedYes][5][IntegrationYesNo]</v>
      </c>
    </row>
    <row r="120" spans="1:15" x14ac:dyDescent="0.3">
      <c r="A120" t="s">
        <v>1793</v>
      </c>
      <c r="B120" t="s">
        <v>1901</v>
      </c>
      <c r="C120" t="s">
        <v>1902</v>
      </c>
      <c r="D120">
        <v>6</v>
      </c>
      <c r="E120" t="s">
        <v>1447</v>
      </c>
      <c r="F120" t="s">
        <v>1903</v>
      </c>
      <c r="G120" t="s">
        <v>1737</v>
      </c>
      <c r="H120" t="s">
        <v>1799</v>
      </c>
      <c r="I120" t="s">
        <v>1799</v>
      </c>
      <c r="J120" t="s">
        <v>1799</v>
      </c>
      <c r="K120" t="s">
        <v>1799</v>
      </c>
      <c r="L120" t="s">
        <v>1419</v>
      </c>
      <c r="M120" t="s">
        <v>1799</v>
      </c>
      <c r="N120" t="s">
        <v>1799</v>
      </c>
      <c r="O120" s="184" t="str">
        <f>"["&amp;$C120&amp;"]["&amp;$D120&amp;"]["&amp;$F120&amp;"]"</f>
        <v>[S04_IEDProcedureRequirementsIntegratedYes][6][IntegrationYesNo]</v>
      </c>
    </row>
    <row r="121" spans="1:15" x14ac:dyDescent="0.3">
      <c r="A121" t="s">
        <v>1793</v>
      </c>
      <c r="B121" t="s">
        <v>1901</v>
      </c>
      <c r="C121" t="s">
        <v>1902</v>
      </c>
      <c r="D121">
        <v>7</v>
      </c>
      <c r="E121" t="s">
        <v>1447</v>
      </c>
      <c r="F121" t="s">
        <v>1903</v>
      </c>
      <c r="G121" t="s">
        <v>1737</v>
      </c>
      <c r="H121" t="s">
        <v>1799</v>
      </c>
      <c r="I121" t="s">
        <v>1799</v>
      </c>
      <c r="J121" t="s">
        <v>1799</v>
      </c>
      <c r="K121" t="s">
        <v>1799</v>
      </c>
      <c r="L121" t="s">
        <v>1447</v>
      </c>
      <c r="M121" t="s">
        <v>1799</v>
      </c>
      <c r="N121" t="s">
        <v>1799</v>
      </c>
      <c r="O121" s="184" t="str">
        <f>"["&amp;$C121&amp;"]["&amp;$D121&amp;"]["&amp;$F121&amp;"]"</f>
        <v>[S04_IEDProcedureRequirementsIntegratedYes][7][IntegrationYesNo]</v>
      </c>
    </row>
    <row r="122" spans="1:15" x14ac:dyDescent="0.3">
      <c r="A122" t="s">
        <v>1793</v>
      </c>
      <c r="B122" t="s">
        <v>1901</v>
      </c>
      <c r="C122" t="s">
        <v>1902</v>
      </c>
      <c r="D122">
        <v>8</v>
      </c>
      <c r="E122" t="s">
        <v>1447</v>
      </c>
      <c r="F122" t="s">
        <v>1903</v>
      </c>
      <c r="G122" t="s">
        <v>1737</v>
      </c>
      <c r="H122" t="s">
        <v>1799</v>
      </c>
      <c r="I122" t="s">
        <v>1799</v>
      </c>
      <c r="J122" t="s">
        <v>1799</v>
      </c>
      <c r="K122" t="s">
        <v>1799</v>
      </c>
      <c r="L122" t="s">
        <v>1419</v>
      </c>
      <c r="M122" t="s">
        <v>1799</v>
      </c>
      <c r="N122" t="s">
        <v>1799</v>
      </c>
      <c r="O122" s="184" t="str">
        <f>"["&amp;$C122&amp;"]["&amp;$D122&amp;"]["&amp;$F122&amp;"]"</f>
        <v>[S04_IEDProcedureRequirementsIntegratedYes][8][IntegrationYesNo]</v>
      </c>
    </row>
    <row r="123" spans="1:15" x14ac:dyDescent="0.3">
      <c r="A123" t="s">
        <v>1793</v>
      </c>
      <c r="B123" t="s">
        <v>1901</v>
      </c>
      <c r="C123" t="s">
        <v>1902</v>
      </c>
      <c r="D123">
        <v>6</v>
      </c>
      <c r="E123" t="s">
        <v>1447</v>
      </c>
      <c r="F123" t="s">
        <v>1904</v>
      </c>
      <c r="G123" t="s">
        <v>1869</v>
      </c>
      <c r="H123" t="s">
        <v>1799</v>
      </c>
      <c r="I123" t="s">
        <v>1799</v>
      </c>
      <c r="J123" t="s">
        <v>1799</v>
      </c>
      <c r="K123" t="s">
        <v>1905</v>
      </c>
      <c r="L123" t="s">
        <v>1799</v>
      </c>
      <c r="M123" t="s">
        <v>1799</v>
      </c>
      <c r="N123" t="s">
        <v>1799</v>
      </c>
      <c r="O123" s="184" t="str">
        <f>"["&amp;$C123&amp;"]["&amp;$D123&amp;"]["&amp;$F123&amp;"]"</f>
        <v>[S04_IEDProcedureRequirementsIntegratedYes][6][IntegrationComments]</v>
      </c>
    </row>
    <row r="124" spans="1:15" x14ac:dyDescent="0.3">
      <c r="A124" t="s">
        <v>1793</v>
      </c>
      <c r="B124" t="s">
        <v>1901</v>
      </c>
      <c r="C124" t="s">
        <v>1902</v>
      </c>
      <c r="D124">
        <v>8</v>
      </c>
      <c r="E124" t="s">
        <v>1447</v>
      </c>
      <c r="F124" t="s">
        <v>1904</v>
      </c>
      <c r="G124" t="s">
        <v>1869</v>
      </c>
      <c r="H124" t="s">
        <v>1799</v>
      </c>
      <c r="I124" t="s">
        <v>1799</v>
      </c>
      <c r="J124" t="s">
        <v>1799</v>
      </c>
      <c r="K124" t="s">
        <v>1906</v>
      </c>
      <c r="L124" t="s">
        <v>1799</v>
      </c>
      <c r="M124" t="s">
        <v>1799</v>
      </c>
      <c r="N124" t="s">
        <v>1799</v>
      </c>
      <c r="O124" s="184" t="str">
        <f>"["&amp;$C124&amp;"]["&amp;$D124&amp;"]["&amp;$F124&amp;"]"</f>
        <v>[S04_IEDProcedureRequirementsIntegratedYes][8][IntegrationComments]</v>
      </c>
    </row>
    <row r="125" spans="1:15" x14ac:dyDescent="0.3">
      <c r="A125" t="s">
        <v>1793</v>
      </c>
      <c r="B125" t="s">
        <v>1907</v>
      </c>
      <c r="C125" t="s">
        <v>1908</v>
      </c>
      <c r="D125">
        <v>1</v>
      </c>
      <c r="E125" t="s">
        <v>1447</v>
      </c>
      <c r="F125" t="s">
        <v>1909</v>
      </c>
      <c r="G125" t="s">
        <v>1797</v>
      </c>
      <c r="H125" t="s">
        <v>1910</v>
      </c>
      <c r="I125" t="s">
        <v>1799</v>
      </c>
      <c r="J125" t="s">
        <v>1799</v>
      </c>
      <c r="K125" t="s">
        <v>1799</v>
      </c>
      <c r="L125" t="s">
        <v>1799</v>
      </c>
      <c r="M125" t="s">
        <v>1799</v>
      </c>
      <c r="N125" t="s">
        <v>1799</v>
      </c>
      <c r="O125" s="184" t="str">
        <f>"["&amp;$C125&amp;"]["&amp;$D125&amp;"]["&amp;$F125&amp;"]"</f>
        <v>[S04_NationalLawPermitUpdate][1][PermitUpdateNationalLawDetail]</v>
      </c>
    </row>
    <row r="126" spans="1:15" x14ac:dyDescent="0.3">
      <c r="A126" t="s">
        <v>1793</v>
      </c>
      <c r="B126" t="s">
        <v>1907</v>
      </c>
      <c r="C126" t="s">
        <v>1908</v>
      </c>
      <c r="D126">
        <v>2</v>
      </c>
      <c r="E126" t="s">
        <v>1447</v>
      </c>
      <c r="F126" t="s">
        <v>1909</v>
      </c>
      <c r="G126" t="s">
        <v>1797</v>
      </c>
      <c r="H126" t="s">
        <v>1911</v>
      </c>
      <c r="I126" t="s">
        <v>1799</v>
      </c>
      <c r="J126" t="s">
        <v>1799</v>
      </c>
      <c r="K126" t="s">
        <v>1799</v>
      </c>
      <c r="L126" t="s">
        <v>1799</v>
      </c>
      <c r="M126" t="s">
        <v>1799</v>
      </c>
      <c r="N126" t="s">
        <v>1799</v>
      </c>
      <c r="O126" s="184" t="str">
        <f>"["&amp;$C126&amp;"]["&amp;$D126&amp;"]["&amp;$F126&amp;"]"</f>
        <v>[S04_NationalLawPermitUpdate][2][PermitUpdateNationalLawDetail]</v>
      </c>
    </row>
    <row r="127" spans="1:15" x14ac:dyDescent="0.3">
      <c r="A127" t="s">
        <v>1793</v>
      </c>
      <c r="B127" t="s">
        <v>1907</v>
      </c>
      <c r="C127" t="s">
        <v>1908</v>
      </c>
      <c r="D127">
        <v>3</v>
      </c>
      <c r="E127" t="s">
        <v>1447</v>
      </c>
      <c r="F127" t="s">
        <v>1909</v>
      </c>
      <c r="G127" t="s">
        <v>1797</v>
      </c>
      <c r="H127" t="s">
        <v>1912</v>
      </c>
      <c r="I127" t="s">
        <v>1799</v>
      </c>
      <c r="J127" t="s">
        <v>1799</v>
      </c>
      <c r="K127" t="s">
        <v>1799</v>
      </c>
      <c r="L127" t="s">
        <v>1799</v>
      </c>
      <c r="M127" t="s">
        <v>1799</v>
      </c>
      <c r="N127" t="s">
        <v>1799</v>
      </c>
      <c r="O127" s="184" t="str">
        <f>"["&amp;$C127&amp;"]["&amp;$D127&amp;"]["&amp;$F127&amp;"]"</f>
        <v>[S04_NationalLawPermitUpdate][3][PermitUpdateNationalLawDetail]</v>
      </c>
    </row>
    <row r="128" spans="1:15" x14ac:dyDescent="0.3">
      <c r="A128" t="s">
        <v>1793</v>
      </c>
      <c r="B128" t="s">
        <v>1907</v>
      </c>
      <c r="C128" t="s">
        <v>1908</v>
      </c>
      <c r="D128">
        <v>4</v>
      </c>
      <c r="E128" t="s">
        <v>1447</v>
      </c>
      <c r="F128" t="s">
        <v>1909</v>
      </c>
      <c r="G128" t="s">
        <v>1797</v>
      </c>
      <c r="H128" t="s">
        <v>1913</v>
      </c>
      <c r="I128" t="s">
        <v>1799</v>
      </c>
      <c r="J128" t="s">
        <v>1799</v>
      </c>
      <c r="K128" t="s">
        <v>1799</v>
      </c>
      <c r="L128" t="s">
        <v>1799</v>
      </c>
      <c r="M128" t="s">
        <v>1799</v>
      </c>
      <c r="N128" t="s">
        <v>1799</v>
      </c>
      <c r="O128" s="184" t="str">
        <f>"["&amp;$C128&amp;"]["&amp;$D128&amp;"]["&amp;$F128&amp;"]"</f>
        <v>[S04_NationalLawPermitUpdate][4][PermitUpdateNationalLawDetail]</v>
      </c>
    </row>
    <row r="129" spans="1:15" x14ac:dyDescent="0.3">
      <c r="A129" t="s">
        <v>1793</v>
      </c>
      <c r="B129" t="s">
        <v>1907</v>
      </c>
      <c r="C129" t="s">
        <v>1908</v>
      </c>
      <c r="D129">
        <v>5</v>
      </c>
      <c r="E129" t="s">
        <v>1447</v>
      </c>
      <c r="F129" t="s">
        <v>1909</v>
      </c>
      <c r="G129" t="s">
        <v>1797</v>
      </c>
      <c r="H129" t="s">
        <v>1914</v>
      </c>
      <c r="I129" t="s">
        <v>1799</v>
      </c>
      <c r="J129" t="s">
        <v>1799</v>
      </c>
      <c r="K129" t="s">
        <v>1799</v>
      </c>
      <c r="L129" t="s">
        <v>1799</v>
      </c>
      <c r="M129" t="s">
        <v>1799</v>
      </c>
      <c r="N129" t="s">
        <v>1799</v>
      </c>
      <c r="O129" s="184" t="str">
        <f>"["&amp;$C129&amp;"]["&amp;$D129&amp;"]["&amp;$F129&amp;"]"</f>
        <v>[S04_NationalLawPermitUpdate][5][PermitUpdateNationalLawDetail]</v>
      </c>
    </row>
    <row r="130" spans="1:15" x14ac:dyDescent="0.3">
      <c r="A130" t="s">
        <v>1793</v>
      </c>
      <c r="B130" t="s">
        <v>1907</v>
      </c>
      <c r="C130" t="s">
        <v>1908</v>
      </c>
      <c r="D130">
        <v>6</v>
      </c>
      <c r="E130" t="s">
        <v>1447</v>
      </c>
      <c r="F130" t="s">
        <v>1909</v>
      </c>
      <c r="G130" t="s">
        <v>1797</v>
      </c>
      <c r="H130" t="s">
        <v>1915</v>
      </c>
      <c r="I130" t="s">
        <v>1799</v>
      </c>
      <c r="J130" t="s">
        <v>1799</v>
      </c>
      <c r="K130" t="s">
        <v>1799</v>
      </c>
      <c r="L130" t="s">
        <v>1799</v>
      </c>
      <c r="M130" t="s">
        <v>1799</v>
      </c>
      <c r="N130" t="s">
        <v>1799</v>
      </c>
      <c r="O130" s="184" t="str">
        <f>"["&amp;$C130&amp;"]["&amp;$D130&amp;"]["&amp;$F130&amp;"]"</f>
        <v>[S04_NationalLawPermitUpdate][6][PermitUpdateNationalLawDetail]</v>
      </c>
    </row>
    <row r="131" spans="1:15" x14ac:dyDescent="0.3">
      <c r="A131" t="s">
        <v>1793</v>
      </c>
      <c r="B131" t="s">
        <v>1907</v>
      </c>
      <c r="C131" t="s">
        <v>1916</v>
      </c>
      <c r="D131">
        <v>0</v>
      </c>
      <c r="E131" t="s">
        <v>1447</v>
      </c>
      <c r="F131" t="s">
        <v>1916</v>
      </c>
      <c r="G131" t="s">
        <v>1811</v>
      </c>
      <c r="H131" t="s">
        <v>1799</v>
      </c>
      <c r="I131">
        <v>62</v>
      </c>
      <c r="J131" t="s">
        <v>1799</v>
      </c>
      <c r="K131" t="s">
        <v>1799</v>
      </c>
      <c r="L131" t="s">
        <v>1799</v>
      </c>
      <c r="M131" t="s">
        <v>1799</v>
      </c>
      <c r="N131" t="s">
        <v>1799</v>
      </c>
      <c r="O131" s="184" t="str">
        <f>"["&amp;$C131&amp;"]["&amp;$D131&amp;"]["&amp;$F131&amp;"]"</f>
        <v>[PermitUpdateTotalNumber][0][PermitUpdateTotalNumber]</v>
      </c>
    </row>
    <row r="132" spans="1:15" x14ac:dyDescent="0.3">
      <c r="A132" t="s">
        <v>1793</v>
      </c>
      <c r="B132" t="s">
        <v>1917</v>
      </c>
      <c r="C132" t="s">
        <v>1918</v>
      </c>
      <c r="D132">
        <v>0</v>
      </c>
      <c r="E132" t="s">
        <v>1447</v>
      </c>
      <c r="F132" t="s">
        <v>1918</v>
      </c>
      <c r="G132" t="s">
        <v>1826</v>
      </c>
      <c r="H132" t="s">
        <v>1799</v>
      </c>
      <c r="I132" t="s">
        <v>1799</v>
      </c>
      <c r="J132" t="s">
        <v>1799</v>
      </c>
      <c r="K132" t="s">
        <v>1799</v>
      </c>
      <c r="L132" t="s">
        <v>1419</v>
      </c>
      <c r="M132" t="s">
        <v>1799</v>
      </c>
      <c r="N132" t="s">
        <v>1799</v>
      </c>
      <c r="O132" s="184" t="str">
        <f>"["&amp;$C132&amp;"]["&amp;$D132&amp;"]["&amp;$F132&amp;"]"</f>
        <v>[AdditionalNationalLegislation][0][AdditionalNationalLegislation]</v>
      </c>
    </row>
    <row r="133" spans="1:15" x14ac:dyDescent="0.3">
      <c r="A133" t="s">
        <v>1793</v>
      </c>
      <c r="B133" t="s">
        <v>1917</v>
      </c>
      <c r="C133" t="s">
        <v>1919</v>
      </c>
      <c r="D133">
        <v>0</v>
      </c>
      <c r="E133" t="s">
        <v>1447</v>
      </c>
      <c r="F133" t="s">
        <v>1919</v>
      </c>
      <c r="G133" t="s">
        <v>1797</v>
      </c>
      <c r="H133" t="s">
        <v>1920</v>
      </c>
      <c r="I133" t="s">
        <v>1799</v>
      </c>
      <c r="J133" t="s">
        <v>1799</v>
      </c>
      <c r="K133" t="s">
        <v>1799</v>
      </c>
      <c r="L133" t="s">
        <v>1799</v>
      </c>
      <c r="M133" t="s">
        <v>1799</v>
      </c>
      <c r="N133" t="s">
        <v>1799</v>
      </c>
      <c r="O133" s="184" t="str">
        <f>"["&amp;$C133&amp;"]["&amp;$D133&amp;"]["&amp;$F133&amp;"]"</f>
        <v>[AdditionalNationalLegislationDetail][0][AdditionalNationalLegislationDetail]</v>
      </c>
    </row>
    <row r="134" spans="1:15" x14ac:dyDescent="0.3">
      <c r="A134" t="s">
        <v>1793</v>
      </c>
      <c r="B134" t="s">
        <v>1917</v>
      </c>
      <c r="C134" t="s">
        <v>1921</v>
      </c>
      <c r="D134">
        <v>0</v>
      </c>
      <c r="E134" t="s">
        <v>1447</v>
      </c>
      <c r="F134" t="s">
        <v>1921</v>
      </c>
      <c r="G134" t="s">
        <v>1826</v>
      </c>
      <c r="H134" t="s">
        <v>1799</v>
      </c>
      <c r="I134" t="s">
        <v>1799</v>
      </c>
      <c r="J134" t="s">
        <v>1799</v>
      </c>
      <c r="K134" t="s">
        <v>1799</v>
      </c>
      <c r="L134" t="s">
        <v>1419</v>
      </c>
      <c r="M134" t="s">
        <v>1799</v>
      </c>
      <c r="N134" t="s">
        <v>1799</v>
      </c>
      <c r="O134" s="184" t="str">
        <f>"["&amp;$C134&amp;"]["&amp;$D134&amp;"]["&amp;$F134&amp;"]"</f>
        <v>[AdditionalNationalGuidance][0][AdditionalNationalGuidance]</v>
      </c>
    </row>
    <row r="135" spans="1:15" x14ac:dyDescent="0.3">
      <c r="A135" t="s">
        <v>1793</v>
      </c>
      <c r="B135" t="s">
        <v>1917</v>
      </c>
      <c r="C135" t="s">
        <v>1922</v>
      </c>
      <c r="D135">
        <v>0</v>
      </c>
      <c r="E135" t="s">
        <v>1447</v>
      </c>
      <c r="F135" t="s">
        <v>1922</v>
      </c>
      <c r="G135" t="s">
        <v>1797</v>
      </c>
      <c r="H135" t="s">
        <v>1923</v>
      </c>
      <c r="I135" t="s">
        <v>1799</v>
      </c>
      <c r="J135" t="s">
        <v>1799</v>
      </c>
      <c r="K135" t="s">
        <v>1799</v>
      </c>
      <c r="L135" t="s">
        <v>1799</v>
      </c>
      <c r="M135" t="s">
        <v>1799</v>
      </c>
      <c r="N135" t="s">
        <v>1799</v>
      </c>
      <c r="O135" s="184" t="str">
        <f>"["&amp;$C135&amp;"]["&amp;$D135&amp;"]["&amp;$F135&amp;"]"</f>
        <v>[AdditionalNationalGuidanceDetail][0][AdditionalNationalGuidanceDetail]</v>
      </c>
    </row>
    <row r="136" spans="1:15" x14ac:dyDescent="0.3">
      <c r="A136" t="s">
        <v>1793</v>
      </c>
      <c r="B136" t="s">
        <v>1924</v>
      </c>
      <c r="C136" t="s">
        <v>1925</v>
      </c>
      <c r="D136">
        <v>1</v>
      </c>
      <c r="E136" t="s">
        <v>1447</v>
      </c>
      <c r="F136" t="s">
        <v>1926</v>
      </c>
      <c r="G136" t="s">
        <v>1826</v>
      </c>
      <c r="H136" t="s">
        <v>1799</v>
      </c>
      <c r="I136" t="s">
        <v>1799</v>
      </c>
      <c r="J136" t="s">
        <v>1799</v>
      </c>
      <c r="K136" t="s">
        <v>1799</v>
      </c>
      <c r="L136" t="s">
        <v>1447</v>
      </c>
      <c r="M136" t="s">
        <v>1799</v>
      </c>
      <c r="N136" t="s">
        <v>1799</v>
      </c>
      <c r="O136" s="184" t="str">
        <f>"["&amp;$C136&amp;"]["&amp;$D136&amp;"]["&amp;$F136&amp;"]"</f>
        <v>[MeasuresStreamline][1][MeasuresStreamlineYesNo]</v>
      </c>
    </row>
    <row r="137" spans="1:15" x14ac:dyDescent="0.3">
      <c r="A137" t="s">
        <v>1793</v>
      </c>
      <c r="B137" t="s">
        <v>1924</v>
      </c>
      <c r="C137" t="s">
        <v>1925</v>
      </c>
      <c r="D137">
        <v>2</v>
      </c>
      <c r="E137" t="s">
        <v>1447</v>
      </c>
      <c r="F137" t="s">
        <v>1926</v>
      </c>
      <c r="G137" t="s">
        <v>1826</v>
      </c>
      <c r="H137" t="s">
        <v>1799</v>
      </c>
      <c r="I137" t="s">
        <v>1799</v>
      </c>
      <c r="J137" t="s">
        <v>1799</v>
      </c>
      <c r="K137" t="s">
        <v>1799</v>
      </c>
      <c r="L137" t="s">
        <v>1447</v>
      </c>
      <c r="M137" t="s">
        <v>1799</v>
      </c>
      <c r="N137" t="s">
        <v>1799</v>
      </c>
      <c r="O137" s="184" t="str">
        <f>"["&amp;$C137&amp;"]["&amp;$D137&amp;"]["&amp;$F137&amp;"]"</f>
        <v>[MeasuresStreamline][2][MeasuresStreamlineYesNo]</v>
      </c>
    </row>
    <row r="138" spans="1:15" x14ac:dyDescent="0.3">
      <c r="A138" t="s">
        <v>1793</v>
      </c>
      <c r="B138" t="s">
        <v>1924</v>
      </c>
      <c r="C138" t="s">
        <v>1925</v>
      </c>
      <c r="D138">
        <v>3</v>
      </c>
      <c r="E138" t="s">
        <v>1447</v>
      </c>
      <c r="F138" t="s">
        <v>1926</v>
      </c>
      <c r="G138" t="s">
        <v>1826</v>
      </c>
      <c r="H138" t="s">
        <v>1799</v>
      </c>
      <c r="I138" t="s">
        <v>1799</v>
      </c>
      <c r="J138" t="s">
        <v>1799</v>
      </c>
      <c r="K138" t="s">
        <v>1799</v>
      </c>
      <c r="L138" t="s">
        <v>1447</v>
      </c>
      <c r="M138" t="s">
        <v>1799</v>
      </c>
      <c r="N138" t="s">
        <v>1799</v>
      </c>
      <c r="O138" s="184" t="str">
        <f>"["&amp;$C138&amp;"]["&amp;$D138&amp;"]["&amp;$F138&amp;"]"</f>
        <v>[MeasuresStreamline][3][MeasuresStreamlineYesNo]</v>
      </c>
    </row>
    <row r="139" spans="1:15" x14ac:dyDescent="0.3">
      <c r="A139" t="s">
        <v>1793</v>
      </c>
      <c r="B139" t="s">
        <v>1924</v>
      </c>
      <c r="C139" t="s">
        <v>1925</v>
      </c>
      <c r="D139">
        <v>4</v>
      </c>
      <c r="E139" t="s">
        <v>1447</v>
      </c>
      <c r="F139" t="s">
        <v>1926</v>
      </c>
      <c r="G139" t="s">
        <v>1826</v>
      </c>
      <c r="H139" t="s">
        <v>1799</v>
      </c>
      <c r="I139" t="s">
        <v>1799</v>
      </c>
      <c r="J139" t="s">
        <v>1799</v>
      </c>
      <c r="K139" t="s">
        <v>1799</v>
      </c>
      <c r="L139" t="s">
        <v>1419</v>
      </c>
      <c r="M139" t="s">
        <v>1799</v>
      </c>
      <c r="N139" t="s">
        <v>1799</v>
      </c>
      <c r="O139" s="184" t="str">
        <f>"["&amp;$C139&amp;"]["&amp;$D139&amp;"]["&amp;$F139&amp;"]"</f>
        <v>[MeasuresStreamline][4][MeasuresStreamlineYesNo]</v>
      </c>
    </row>
    <row r="140" spans="1:15" x14ac:dyDescent="0.3">
      <c r="A140" t="s">
        <v>1793</v>
      </c>
      <c r="B140" t="s">
        <v>1924</v>
      </c>
      <c r="C140" t="s">
        <v>1925</v>
      </c>
      <c r="D140">
        <v>5</v>
      </c>
      <c r="E140" t="s">
        <v>1447</v>
      </c>
      <c r="F140" t="s">
        <v>1926</v>
      </c>
      <c r="G140" t="s">
        <v>1826</v>
      </c>
      <c r="H140" t="s">
        <v>1799</v>
      </c>
      <c r="I140" t="s">
        <v>1799</v>
      </c>
      <c r="J140" t="s">
        <v>1799</v>
      </c>
      <c r="K140" t="s">
        <v>1799</v>
      </c>
      <c r="L140" t="s">
        <v>1419</v>
      </c>
      <c r="M140" t="s">
        <v>1799</v>
      </c>
      <c r="N140" t="s">
        <v>1799</v>
      </c>
      <c r="O140" s="184" t="str">
        <f>"["&amp;$C140&amp;"]["&amp;$D140&amp;"]["&amp;$F140&amp;"]"</f>
        <v>[MeasuresStreamline][5][MeasuresStreamlineYesNo]</v>
      </c>
    </row>
    <row r="141" spans="1:15" x14ac:dyDescent="0.3">
      <c r="A141" t="s">
        <v>1793</v>
      </c>
      <c r="B141" t="s">
        <v>1924</v>
      </c>
      <c r="C141" t="s">
        <v>1925</v>
      </c>
      <c r="D141">
        <v>6</v>
      </c>
      <c r="E141" t="s">
        <v>1447</v>
      </c>
      <c r="F141" t="s">
        <v>1926</v>
      </c>
      <c r="G141" t="s">
        <v>1826</v>
      </c>
      <c r="H141" t="s">
        <v>1799</v>
      </c>
      <c r="I141" t="s">
        <v>1799</v>
      </c>
      <c r="J141" t="s">
        <v>1799</v>
      </c>
      <c r="K141" t="s">
        <v>1799</v>
      </c>
      <c r="L141" t="s">
        <v>1447</v>
      </c>
      <c r="M141" t="s">
        <v>1799</v>
      </c>
      <c r="N141" t="s">
        <v>1799</v>
      </c>
      <c r="O141" s="184" t="str">
        <f>"["&amp;$C141&amp;"]["&amp;$D141&amp;"]["&amp;$F141&amp;"]"</f>
        <v>[MeasuresStreamline][6][MeasuresStreamlineYesNo]</v>
      </c>
    </row>
    <row r="142" spans="1:15" x14ac:dyDescent="0.3">
      <c r="A142" t="s">
        <v>1793</v>
      </c>
      <c r="B142" t="s">
        <v>1924</v>
      </c>
      <c r="C142" t="s">
        <v>1925</v>
      </c>
      <c r="D142">
        <v>7</v>
      </c>
      <c r="E142" t="s">
        <v>1447</v>
      </c>
      <c r="F142" t="s">
        <v>1926</v>
      </c>
      <c r="G142" t="s">
        <v>1826</v>
      </c>
      <c r="H142" t="s">
        <v>1799</v>
      </c>
      <c r="I142" t="s">
        <v>1799</v>
      </c>
      <c r="J142" t="s">
        <v>1799</v>
      </c>
      <c r="K142" t="s">
        <v>1799</v>
      </c>
      <c r="L142" t="s">
        <v>1447</v>
      </c>
      <c r="M142" t="s">
        <v>1799</v>
      </c>
      <c r="N142" t="s">
        <v>1799</v>
      </c>
      <c r="O142" s="184" t="str">
        <f>"["&amp;$C142&amp;"]["&amp;$D142&amp;"]["&amp;$F142&amp;"]"</f>
        <v>[MeasuresStreamline][7][MeasuresStreamlineYesNo]</v>
      </c>
    </row>
    <row r="143" spans="1:15" x14ac:dyDescent="0.3">
      <c r="A143" t="s">
        <v>1793</v>
      </c>
      <c r="B143" t="s">
        <v>1924</v>
      </c>
      <c r="C143" t="s">
        <v>1925</v>
      </c>
      <c r="D143">
        <v>1</v>
      </c>
      <c r="E143" t="s">
        <v>1447</v>
      </c>
      <c r="F143" t="s">
        <v>1927</v>
      </c>
      <c r="G143" t="s">
        <v>1869</v>
      </c>
      <c r="H143" t="s">
        <v>1799</v>
      </c>
      <c r="I143" t="s">
        <v>1799</v>
      </c>
      <c r="J143" t="s">
        <v>1799</v>
      </c>
      <c r="K143" t="s">
        <v>1928</v>
      </c>
      <c r="L143" t="s">
        <v>1799</v>
      </c>
      <c r="M143" t="s">
        <v>1799</v>
      </c>
      <c r="N143" t="s">
        <v>1799</v>
      </c>
      <c r="O143" s="184" t="str">
        <f>"["&amp;$C143&amp;"]["&amp;$D143&amp;"]["&amp;$F143&amp;"]"</f>
        <v>[MeasuresStreamline][1][MeasuresStreamlineComments]</v>
      </c>
    </row>
    <row r="144" spans="1:15" x14ac:dyDescent="0.3">
      <c r="A144" t="s">
        <v>1793</v>
      </c>
      <c r="B144" t="s">
        <v>1924</v>
      </c>
      <c r="C144" t="s">
        <v>1925</v>
      </c>
      <c r="D144">
        <v>4</v>
      </c>
      <c r="E144" t="s">
        <v>1447</v>
      </c>
      <c r="F144" t="s">
        <v>1927</v>
      </c>
      <c r="G144" t="s">
        <v>1869</v>
      </c>
      <c r="H144" t="s">
        <v>1799</v>
      </c>
      <c r="I144" t="s">
        <v>1799</v>
      </c>
      <c r="J144" t="s">
        <v>1799</v>
      </c>
      <c r="K144" t="s">
        <v>1929</v>
      </c>
      <c r="L144" t="s">
        <v>1799</v>
      </c>
      <c r="M144" t="s">
        <v>1799</v>
      </c>
      <c r="N144" t="s">
        <v>1799</v>
      </c>
      <c r="O144" s="184" t="str">
        <f>"["&amp;$C144&amp;"]["&amp;$D144&amp;"]["&amp;$F144&amp;"]"</f>
        <v>[MeasuresStreamline][4][MeasuresStreamlineComments]</v>
      </c>
    </row>
    <row r="145" spans="1:15" x14ac:dyDescent="0.3">
      <c r="A145" t="s">
        <v>1793</v>
      </c>
      <c r="B145" t="s">
        <v>1924</v>
      </c>
      <c r="C145" t="s">
        <v>1925</v>
      </c>
      <c r="D145">
        <v>6</v>
      </c>
      <c r="E145" t="s">
        <v>1447</v>
      </c>
      <c r="F145" t="s">
        <v>1927</v>
      </c>
      <c r="G145" t="s">
        <v>1869</v>
      </c>
      <c r="H145" t="s">
        <v>1799</v>
      </c>
      <c r="I145" t="s">
        <v>1799</v>
      </c>
      <c r="J145" t="s">
        <v>1799</v>
      </c>
      <c r="K145" t="s">
        <v>1930</v>
      </c>
      <c r="L145" t="s">
        <v>1799</v>
      </c>
      <c r="M145" t="s">
        <v>1799</v>
      </c>
      <c r="N145" t="s">
        <v>1799</v>
      </c>
      <c r="O145" s="184" t="str">
        <f>"["&amp;$C145&amp;"]["&amp;$D145&amp;"]["&amp;$F145&amp;"]"</f>
        <v>[MeasuresStreamline][6][MeasuresStreamlineComments]</v>
      </c>
    </row>
    <row r="146" spans="1:15" x14ac:dyDescent="0.3">
      <c r="A146" t="s">
        <v>1793</v>
      </c>
      <c r="B146" t="s">
        <v>1931</v>
      </c>
      <c r="C146" t="s">
        <v>1932</v>
      </c>
      <c r="D146">
        <v>0</v>
      </c>
      <c r="E146" t="s">
        <v>1447</v>
      </c>
      <c r="F146" t="s">
        <v>1932</v>
      </c>
      <c r="G146" t="s">
        <v>1826</v>
      </c>
      <c r="H146" t="s">
        <v>1799</v>
      </c>
      <c r="I146" t="s">
        <v>1799</v>
      </c>
      <c r="J146" t="s">
        <v>1799</v>
      </c>
      <c r="K146" t="s">
        <v>1799</v>
      </c>
      <c r="L146" t="s">
        <v>1447</v>
      </c>
      <c r="M146" t="s">
        <v>1799</v>
      </c>
      <c r="N146" t="s">
        <v>1799</v>
      </c>
      <c r="O146" s="184" t="str">
        <f>"["&amp;$C146&amp;"]["&amp;$D146&amp;"]["&amp;$F146&amp;"]"</f>
        <v>[CommissionTemplatesMRR][0][CommissionTemplatesMRR]</v>
      </c>
    </row>
    <row r="147" spans="1:15" x14ac:dyDescent="0.3">
      <c r="A147" t="s">
        <v>1793</v>
      </c>
      <c r="B147" t="s">
        <v>1931</v>
      </c>
      <c r="C147" t="s">
        <v>1933</v>
      </c>
      <c r="D147">
        <v>1</v>
      </c>
      <c r="E147" t="s">
        <v>1447</v>
      </c>
      <c r="F147" t="s">
        <v>1934</v>
      </c>
      <c r="G147" t="s">
        <v>1737</v>
      </c>
      <c r="H147" t="s">
        <v>1799</v>
      </c>
      <c r="I147" t="s">
        <v>1799</v>
      </c>
      <c r="J147" t="s">
        <v>1799</v>
      </c>
      <c r="K147" t="s">
        <v>1799</v>
      </c>
      <c r="L147" t="s">
        <v>1452</v>
      </c>
      <c r="M147" t="s">
        <v>1799</v>
      </c>
      <c r="N147" t="s">
        <v>1799</v>
      </c>
      <c r="O147" s="184" t="str">
        <f>"["&amp;$C147&amp;"]["&amp;$D147&amp;"]["&amp;$F147&amp;"]"</f>
        <v>[S05_MSCustomisedTemplatesMRR1][1][SpecificTemplateOrFileFormat]</v>
      </c>
    </row>
    <row r="148" spans="1:15" x14ac:dyDescent="0.3">
      <c r="A148" t="s">
        <v>1793</v>
      </c>
      <c r="B148" t="s">
        <v>1931</v>
      </c>
      <c r="C148" t="s">
        <v>1933</v>
      </c>
      <c r="D148">
        <v>2</v>
      </c>
      <c r="E148" t="s">
        <v>1447</v>
      </c>
      <c r="F148" t="s">
        <v>1934</v>
      </c>
      <c r="G148" t="s">
        <v>1737</v>
      </c>
      <c r="H148" t="s">
        <v>1799</v>
      </c>
      <c r="I148" t="s">
        <v>1799</v>
      </c>
      <c r="J148" t="s">
        <v>1799</v>
      </c>
      <c r="K148" t="s">
        <v>1799</v>
      </c>
      <c r="L148" t="s">
        <v>1452</v>
      </c>
      <c r="M148" t="s">
        <v>1799</v>
      </c>
      <c r="N148" t="s">
        <v>1799</v>
      </c>
      <c r="O148" s="184" t="str">
        <f>"["&amp;$C148&amp;"]["&amp;$D148&amp;"]["&amp;$F148&amp;"]"</f>
        <v>[S05_MSCustomisedTemplatesMRR1][2][SpecificTemplateOrFileFormat]</v>
      </c>
    </row>
    <row r="149" spans="1:15" x14ac:dyDescent="0.3">
      <c r="A149" t="s">
        <v>1793</v>
      </c>
      <c r="B149" t="s">
        <v>1931</v>
      </c>
      <c r="C149" t="s">
        <v>1933</v>
      </c>
      <c r="D149">
        <v>3</v>
      </c>
      <c r="E149" t="s">
        <v>1447</v>
      </c>
      <c r="F149" t="s">
        <v>1934</v>
      </c>
      <c r="G149" t="s">
        <v>1737</v>
      </c>
      <c r="H149" t="s">
        <v>1799</v>
      </c>
      <c r="I149" t="s">
        <v>1799</v>
      </c>
      <c r="J149" t="s">
        <v>1799</v>
      </c>
      <c r="K149" t="s">
        <v>1799</v>
      </c>
      <c r="L149" t="s">
        <v>1452</v>
      </c>
      <c r="M149" t="s">
        <v>1799</v>
      </c>
      <c r="N149" t="s">
        <v>1799</v>
      </c>
      <c r="O149" s="184" t="str">
        <f>"["&amp;$C149&amp;"]["&amp;$D149&amp;"]["&amp;$F149&amp;"]"</f>
        <v>[S05_MSCustomisedTemplatesMRR1][3][SpecificTemplateOrFileFormat]</v>
      </c>
    </row>
    <row r="150" spans="1:15" x14ac:dyDescent="0.3">
      <c r="A150" t="s">
        <v>1793</v>
      </c>
      <c r="B150" t="s">
        <v>1931</v>
      </c>
      <c r="C150" t="s">
        <v>1933</v>
      </c>
      <c r="D150">
        <v>4</v>
      </c>
      <c r="E150" t="s">
        <v>1447</v>
      </c>
      <c r="F150" t="s">
        <v>1934</v>
      </c>
      <c r="G150" t="s">
        <v>1737</v>
      </c>
      <c r="H150" t="s">
        <v>1799</v>
      </c>
      <c r="I150" t="s">
        <v>1799</v>
      </c>
      <c r="J150" t="s">
        <v>1799</v>
      </c>
      <c r="K150" t="s">
        <v>1799</v>
      </c>
      <c r="L150" t="s">
        <v>1424</v>
      </c>
      <c r="M150" t="s">
        <v>1799</v>
      </c>
      <c r="N150" t="s">
        <v>1799</v>
      </c>
      <c r="O150" s="184" t="str">
        <f>"["&amp;$C150&amp;"]["&amp;$D150&amp;"]["&amp;$F150&amp;"]"</f>
        <v>[S05_MSCustomisedTemplatesMRR1][4][SpecificTemplateOrFileFormat]</v>
      </c>
    </row>
    <row r="151" spans="1:15" x14ac:dyDescent="0.3">
      <c r="A151" t="s">
        <v>1793</v>
      </c>
      <c r="B151" t="s">
        <v>1931</v>
      </c>
      <c r="C151" t="s">
        <v>1933</v>
      </c>
      <c r="D151">
        <v>1</v>
      </c>
      <c r="E151" t="s">
        <v>1447</v>
      </c>
      <c r="F151" t="s">
        <v>1935</v>
      </c>
      <c r="G151" t="s">
        <v>1797</v>
      </c>
      <c r="H151" t="s">
        <v>1936</v>
      </c>
      <c r="I151" t="s">
        <v>1799</v>
      </c>
      <c r="J151" t="s">
        <v>1799</v>
      </c>
      <c r="K151" t="s">
        <v>1799</v>
      </c>
      <c r="L151" t="s">
        <v>1799</v>
      </c>
      <c r="M151" t="s">
        <v>1799</v>
      </c>
      <c r="N151" t="s">
        <v>1799</v>
      </c>
      <c r="O151" s="184" t="str">
        <f>"["&amp;$C151&amp;"]["&amp;$D151&amp;"]["&amp;$F151&amp;"]"</f>
        <v>[S05_MSCustomisedTemplatesMRR1][1][HowTemplateSpecific]</v>
      </c>
    </row>
    <row r="152" spans="1:15" x14ac:dyDescent="0.3">
      <c r="A152" t="s">
        <v>1793</v>
      </c>
      <c r="B152" t="s">
        <v>1931</v>
      </c>
      <c r="C152" t="s">
        <v>1933</v>
      </c>
      <c r="D152">
        <v>2</v>
      </c>
      <c r="E152" t="s">
        <v>1447</v>
      </c>
      <c r="F152" t="s">
        <v>1935</v>
      </c>
      <c r="G152" t="s">
        <v>1797</v>
      </c>
      <c r="H152" t="s">
        <v>1936</v>
      </c>
      <c r="I152" t="s">
        <v>1799</v>
      </c>
      <c r="J152" t="s">
        <v>1799</v>
      </c>
      <c r="K152" t="s">
        <v>1799</v>
      </c>
      <c r="L152" t="s">
        <v>1799</v>
      </c>
      <c r="M152" t="s">
        <v>1799</v>
      </c>
      <c r="N152" t="s">
        <v>1799</v>
      </c>
      <c r="O152" s="184" t="str">
        <f>"["&amp;$C152&amp;"]["&amp;$D152&amp;"]["&amp;$F152&amp;"]"</f>
        <v>[S05_MSCustomisedTemplatesMRR1][2][HowTemplateSpecific]</v>
      </c>
    </row>
    <row r="153" spans="1:15" x14ac:dyDescent="0.3">
      <c r="A153" t="s">
        <v>1793</v>
      </c>
      <c r="B153" t="s">
        <v>1931</v>
      </c>
      <c r="C153" t="s">
        <v>1933</v>
      </c>
      <c r="D153">
        <v>3</v>
      </c>
      <c r="E153" t="s">
        <v>1447</v>
      </c>
      <c r="F153" t="s">
        <v>1935</v>
      </c>
      <c r="G153" t="s">
        <v>1797</v>
      </c>
      <c r="H153" t="s">
        <v>1936</v>
      </c>
      <c r="I153" t="s">
        <v>1799</v>
      </c>
      <c r="J153" t="s">
        <v>1799</v>
      </c>
      <c r="K153" t="s">
        <v>1799</v>
      </c>
      <c r="L153" t="s">
        <v>1799</v>
      </c>
      <c r="M153" t="s">
        <v>1799</v>
      </c>
      <c r="N153" t="s">
        <v>1799</v>
      </c>
      <c r="O153" s="184" t="str">
        <f>"["&amp;$C153&amp;"]["&amp;$D153&amp;"]["&amp;$F153&amp;"]"</f>
        <v>[S05_MSCustomisedTemplatesMRR1][3][HowTemplateSpecific]</v>
      </c>
    </row>
    <row r="154" spans="1:15" x14ac:dyDescent="0.3">
      <c r="A154" t="s">
        <v>1793</v>
      </c>
      <c r="B154" t="s">
        <v>1931</v>
      </c>
      <c r="C154" t="s">
        <v>1933</v>
      </c>
      <c r="D154">
        <v>4</v>
      </c>
      <c r="E154" t="s">
        <v>1447</v>
      </c>
      <c r="F154" t="s">
        <v>1935</v>
      </c>
      <c r="G154" t="s">
        <v>1797</v>
      </c>
      <c r="H154" t="s">
        <v>1937</v>
      </c>
      <c r="I154" t="s">
        <v>1799</v>
      </c>
      <c r="J154" t="s">
        <v>1799</v>
      </c>
      <c r="K154" t="s">
        <v>1799</v>
      </c>
      <c r="L154" t="s">
        <v>1799</v>
      </c>
      <c r="M154" t="s">
        <v>1799</v>
      </c>
      <c r="N154" t="s">
        <v>1799</v>
      </c>
      <c r="O154" s="184" t="str">
        <f>"["&amp;$C154&amp;"]["&amp;$D154&amp;"]["&amp;$F154&amp;"]"</f>
        <v>[S05_MSCustomisedTemplatesMRR1][4][HowTemplateSpecific]</v>
      </c>
    </row>
    <row r="155" spans="1:15" x14ac:dyDescent="0.3">
      <c r="A155" t="s">
        <v>1793</v>
      </c>
      <c r="B155" t="s">
        <v>1931</v>
      </c>
      <c r="C155" t="s">
        <v>1938</v>
      </c>
      <c r="D155">
        <v>1</v>
      </c>
      <c r="E155" t="s">
        <v>1447</v>
      </c>
      <c r="F155" t="s">
        <v>1934</v>
      </c>
      <c r="G155" t="s">
        <v>1737</v>
      </c>
      <c r="H155" t="s">
        <v>1799</v>
      </c>
      <c r="I155" t="s">
        <v>1799</v>
      </c>
      <c r="J155" t="s">
        <v>1799</v>
      </c>
      <c r="K155" t="s">
        <v>1799</v>
      </c>
      <c r="L155" t="s">
        <v>1452</v>
      </c>
      <c r="M155" t="s">
        <v>1799</v>
      </c>
      <c r="N155" t="s">
        <v>1799</v>
      </c>
      <c r="O155" s="184" t="str">
        <f>"["&amp;$C155&amp;"]["&amp;$D155&amp;"]["&amp;$F155&amp;"]"</f>
        <v>[S05_MSCustomisedTemplatesMRR2][1][SpecificTemplateOrFileFormat]</v>
      </c>
    </row>
    <row r="156" spans="1:15" x14ac:dyDescent="0.3">
      <c r="A156" t="s">
        <v>1793</v>
      </c>
      <c r="B156" t="s">
        <v>1931</v>
      </c>
      <c r="C156" t="s">
        <v>1938</v>
      </c>
      <c r="D156">
        <v>2</v>
      </c>
      <c r="E156" t="s">
        <v>1447</v>
      </c>
      <c r="F156" t="s">
        <v>1934</v>
      </c>
      <c r="G156" t="s">
        <v>1737</v>
      </c>
      <c r="H156" t="s">
        <v>1799</v>
      </c>
      <c r="I156" t="s">
        <v>1799</v>
      </c>
      <c r="J156" t="s">
        <v>1799</v>
      </c>
      <c r="K156" t="s">
        <v>1799</v>
      </c>
      <c r="L156" t="s">
        <v>1452</v>
      </c>
      <c r="M156" t="s">
        <v>1799</v>
      </c>
      <c r="N156" t="s">
        <v>1799</v>
      </c>
      <c r="O156" s="184" t="str">
        <f>"["&amp;$C156&amp;"]["&amp;$D156&amp;"]["&amp;$F156&amp;"]"</f>
        <v>[S05_MSCustomisedTemplatesMRR2][2][SpecificTemplateOrFileFormat]</v>
      </c>
    </row>
    <row r="157" spans="1:15" x14ac:dyDescent="0.3">
      <c r="A157" t="s">
        <v>1793</v>
      </c>
      <c r="B157" t="s">
        <v>1931</v>
      </c>
      <c r="C157" t="s">
        <v>1938</v>
      </c>
      <c r="D157">
        <v>3</v>
      </c>
      <c r="E157" t="s">
        <v>1447</v>
      </c>
      <c r="F157" t="s">
        <v>1934</v>
      </c>
      <c r="G157" t="s">
        <v>1737</v>
      </c>
      <c r="H157" t="s">
        <v>1799</v>
      </c>
      <c r="I157" t="s">
        <v>1799</v>
      </c>
      <c r="J157" t="s">
        <v>1799</v>
      </c>
      <c r="K157" t="s">
        <v>1799</v>
      </c>
      <c r="L157" t="s">
        <v>1452</v>
      </c>
      <c r="M157" t="s">
        <v>1799</v>
      </c>
      <c r="N157" t="s">
        <v>1799</v>
      </c>
      <c r="O157" s="184" t="str">
        <f>"["&amp;$C157&amp;"]["&amp;$D157&amp;"]["&amp;$F157&amp;"]"</f>
        <v>[S05_MSCustomisedTemplatesMRR2][3][SpecificTemplateOrFileFormat]</v>
      </c>
    </row>
    <row r="158" spans="1:15" x14ac:dyDescent="0.3">
      <c r="A158" t="s">
        <v>1793</v>
      </c>
      <c r="B158" t="s">
        <v>1931</v>
      </c>
      <c r="C158" t="s">
        <v>1938</v>
      </c>
      <c r="D158">
        <v>4</v>
      </c>
      <c r="E158" t="s">
        <v>1447</v>
      </c>
      <c r="F158" t="s">
        <v>1934</v>
      </c>
      <c r="G158" t="s">
        <v>1737</v>
      </c>
      <c r="H158" t="s">
        <v>1799</v>
      </c>
      <c r="I158" t="s">
        <v>1799</v>
      </c>
      <c r="J158" t="s">
        <v>1799</v>
      </c>
      <c r="K158" t="s">
        <v>1799</v>
      </c>
      <c r="L158" t="s">
        <v>1424</v>
      </c>
      <c r="M158" t="s">
        <v>1799</v>
      </c>
      <c r="N158" t="s">
        <v>1799</v>
      </c>
      <c r="O158" s="184" t="str">
        <f>"["&amp;$C158&amp;"]["&amp;$D158&amp;"]["&amp;$F158&amp;"]"</f>
        <v>[S05_MSCustomisedTemplatesMRR2][4][SpecificTemplateOrFileFormat]</v>
      </c>
    </row>
    <row r="159" spans="1:15" x14ac:dyDescent="0.3">
      <c r="A159" t="s">
        <v>1793</v>
      </c>
      <c r="B159" t="s">
        <v>1931</v>
      </c>
      <c r="C159" t="s">
        <v>1938</v>
      </c>
      <c r="D159">
        <v>1</v>
      </c>
      <c r="E159" t="s">
        <v>1447</v>
      </c>
      <c r="F159" t="s">
        <v>1935</v>
      </c>
      <c r="G159" t="s">
        <v>1797</v>
      </c>
      <c r="H159" t="s">
        <v>1939</v>
      </c>
      <c r="I159" t="s">
        <v>1799</v>
      </c>
      <c r="J159" t="s">
        <v>1799</v>
      </c>
      <c r="K159" t="s">
        <v>1799</v>
      </c>
      <c r="L159" t="s">
        <v>1799</v>
      </c>
      <c r="M159" t="s">
        <v>1799</v>
      </c>
      <c r="N159" t="s">
        <v>1799</v>
      </c>
      <c r="O159" s="184" t="str">
        <f>"["&amp;$C159&amp;"]["&amp;$D159&amp;"]["&amp;$F159&amp;"]"</f>
        <v>[S05_MSCustomisedTemplatesMRR2][1][HowTemplateSpecific]</v>
      </c>
    </row>
    <row r="160" spans="1:15" x14ac:dyDescent="0.3">
      <c r="A160" t="s">
        <v>1793</v>
      </c>
      <c r="B160" t="s">
        <v>1931</v>
      </c>
      <c r="C160" t="s">
        <v>1938</v>
      </c>
      <c r="D160">
        <v>2</v>
      </c>
      <c r="E160" t="s">
        <v>1447</v>
      </c>
      <c r="F160" t="s">
        <v>1935</v>
      </c>
      <c r="G160" t="s">
        <v>1797</v>
      </c>
      <c r="H160" t="s">
        <v>1936</v>
      </c>
      <c r="I160" t="s">
        <v>1799</v>
      </c>
      <c r="J160" t="s">
        <v>1799</v>
      </c>
      <c r="K160" t="s">
        <v>1799</v>
      </c>
      <c r="L160" t="s">
        <v>1799</v>
      </c>
      <c r="M160" t="s">
        <v>1799</v>
      </c>
      <c r="N160" t="s">
        <v>1799</v>
      </c>
      <c r="O160" s="184" t="str">
        <f>"["&amp;$C160&amp;"]["&amp;$D160&amp;"]["&amp;$F160&amp;"]"</f>
        <v>[S05_MSCustomisedTemplatesMRR2][2][HowTemplateSpecific]</v>
      </c>
    </row>
    <row r="161" spans="1:15" x14ac:dyDescent="0.3">
      <c r="A161" t="s">
        <v>1793</v>
      </c>
      <c r="B161" t="s">
        <v>1931</v>
      </c>
      <c r="C161" t="s">
        <v>1938</v>
      </c>
      <c r="D161">
        <v>3</v>
      </c>
      <c r="E161" t="s">
        <v>1447</v>
      </c>
      <c r="F161" t="s">
        <v>1935</v>
      </c>
      <c r="G161" t="s">
        <v>1797</v>
      </c>
      <c r="H161" t="s">
        <v>1936</v>
      </c>
      <c r="I161" t="s">
        <v>1799</v>
      </c>
      <c r="J161" t="s">
        <v>1799</v>
      </c>
      <c r="K161" t="s">
        <v>1799</v>
      </c>
      <c r="L161" t="s">
        <v>1799</v>
      </c>
      <c r="M161" t="s">
        <v>1799</v>
      </c>
      <c r="N161" t="s">
        <v>1799</v>
      </c>
      <c r="O161" s="184" t="str">
        <f>"["&amp;$C161&amp;"]["&amp;$D161&amp;"]["&amp;$F161&amp;"]"</f>
        <v>[S05_MSCustomisedTemplatesMRR2][3][HowTemplateSpecific]</v>
      </c>
    </row>
    <row r="162" spans="1:15" x14ac:dyDescent="0.3">
      <c r="A162" t="s">
        <v>1793</v>
      </c>
      <c r="B162" t="s">
        <v>1931</v>
      </c>
      <c r="C162" t="s">
        <v>1938</v>
      </c>
      <c r="D162">
        <v>4</v>
      </c>
      <c r="E162" t="s">
        <v>1447</v>
      </c>
      <c r="F162" t="s">
        <v>1935</v>
      </c>
      <c r="G162" t="s">
        <v>1797</v>
      </c>
      <c r="H162" t="s">
        <v>1937</v>
      </c>
      <c r="I162" t="s">
        <v>1799</v>
      </c>
      <c r="J162" t="s">
        <v>1799</v>
      </c>
      <c r="K162" t="s">
        <v>1799</v>
      </c>
      <c r="L162" t="s">
        <v>1799</v>
      </c>
      <c r="M162" t="s">
        <v>1799</v>
      </c>
      <c r="N162" t="s">
        <v>1799</v>
      </c>
      <c r="O162" s="184" t="str">
        <f>"["&amp;$C162&amp;"]["&amp;$D162&amp;"]["&amp;$F162&amp;"]"</f>
        <v>[S05_MSCustomisedTemplatesMRR2][4][HowTemplateSpecific]</v>
      </c>
    </row>
    <row r="163" spans="1:15" x14ac:dyDescent="0.3">
      <c r="A163" t="s">
        <v>1793</v>
      </c>
      <c r="B163" t="s">
        <v>1931</v>
      </c>
      <c r="C163" t="s">
        <v>1940</v>
      </c>
      <c r="D163">
        <v>0</v>
      </c>
      <c r="E163" t="s">
        <v>1447</v>
      </c>
      <c r="F163" t="s">
        <v>1940</v>
      </c>
      <c r="G163" t="s">
        <v>1797</v>
      </c>
      <c r="H163" t="s">
        <v>1941</v>
      </c>
      <c r="I163" t="s">
        <v>1799</v>
      </c>
      <c r="J163" t="s">
        <v>1799</v>
      </c>
      <c r="K163" t="s">
        <v>1799</v>
      </c>
      <c r="L163" t="s">
        <v>1799</v>
      </c>
      <c r="M163" t="s">
        <v>1799</v>
      </c>
      <c r="N163" t="s">
        <v>1799</v>
      </c>
      <c r="O163" s="184" t="str">
        <f>"["&amp;$C163&amp;"]["&amp;$D163&amp;"]["&amp;$F163&amp;"]"</f>
        <v>[ComplyMeasuresArt74][0][ComplyMeasuresArt74]</v>
      </c>
    </row>
    <row r="164" spans="1:15" x14ac:dyDescent="0.3">
      <c r="A164" t="s">
        <v>1793</v>
      </c>
      <c r="B164" t="s">
        <v>1942</v>
      </c>
      <c r="C164" t="s">
        <v>1943</v>
      </c>
      <c r="D164">
        <v>0</v>
      </c>
      <c r="E164" t="s">
        <v>1447</v>
      </c>
      <c r="F164" t="s">
        <v>1943</v>
      </c>
      <c r="G164" t="s">
        <v>1826</v>
      </c>
      <c r="H164" t="s">
        <v>1799</v>
      </c>
      <c r="I164" t="s">
        <v>1799</v>
      </c>
      <c r="J164" t="s">
        <v>1799</v>
      </c>
      <c r="K164" t="s">
        <v>1799</v>
      </c>
      <c r="L164" t="s">
        <v>1419</v>
      </c>
      <c r="M164" t="s">
        <v>1799</v>
      </c>
      <c r="N164" t="s">
        <v>1799</v>
      </c>
      <c r="O164" s="184" t="str">
        <f>"["&amp;$C164&amp;"]["&amp;$D164&amp;"]["&amp;$F164&amp;"]"</f>
        <v>[AutomatedSystemInformationExchange][0][AutomatedSystemInformationExchange]</v>
      </c>
    </row>
    <row r="165" spans="1:15" x14ac:dyDescent="0.3">
      <c r="A165" t="s">
        <v>1793</v>
      </c>
      <c r="B165" t="s">
        <v>1942</v>
      </c>
      <c r="C165" t="s">
        <v>1944</v>
      </c>
      <c r="D165">
        <v>0</v>
      </c>
      <c r="E165" t="s">
        <v>1447</v>
      </c>
      <c r="F165" t="s">
        <v>1944</v>
      </c>
      <c r="G165" t="s">
        <v>1797</v>
      </c>
      <c r="H165" t="s">
        <v>1945</v>
      </c>
      <c r="I165" t="s">
        <v>1799</v>
      </c>
      <c r="J165" t="s">
        <v>1799</v>
      </c>
      <c r="K165" t="s">
        <v>1799</v>
      </c>
      <c r="L165" t="s">
        <v>1799</v>
      </c>
      <c r="M165" t="s">
        <v>1799</v>
      </c>
      <c r="N165" t="s">
        <v>1799</v>
      </c>
      <c r="O165" s="184" t="str">
        <f>"["&amp;$C165&amp;"]["&amp;$D165&amp;"]["&amp;$F165&amp;"]"</f>
        <v>[ComplyRequirementsArt75][0][ComplyRequirementsArt75]</v>
      </c>
    </row>
    <row r="166" spans="1:15" x14ac:dyDescent="0.3">
      <c r="A166" t="s">
        <v>1793</v>
      </c>
      <c r="B166" t="s">
        <v>1946</v>
      </c>
      <c r="C166" t="s">
        <v>1947</v>
      </c>
      <c r="D166">
        <v>1</v>
      </c>
      <c r="E166" t="s">
        <v>1447</v>
      </c>
      <c r="F166" t="s">
        <v>1948</v>
      </c>
      <c r="G166" t="s">
        <v>1892</v>
      </c>
      <c r="H166" t="s">
        <v>1799</v>
      </c>
      <c r="I166" t="s">
        <v>1799</v>
      </c>
      <c r="J166">
        <v>547590.33635865001</v>
      </c>
      <c r="K166" t="s">
        <v>1799</v>
      </c>
      <c r="L166" t="s">
        <v>1799</v>
      </c>
      <c r="M166" t="s">
        <v>1799</v>
      </c>
      <c r="N166" t="s">
        <v>1799</v>
      </c>
      <c r="O166" s="184" t="str">
        <f>"["&amp;$C166&amp;"]["&amp;$D166&amp;"]["&amp;$F166&amp;"]"</f>
        <v>[S05_InstallationFuelConsEmissions][1][FuelConsumption]</v>
      </c>
    </row>
    <row r="167" spans="1:15" x14ac:dyDescent="0.3">
      <c r="A167" t="s">
        <v>1793</v>
      </c>
      <c r="B167" t="s">
        <v>1946</v>
      </c>
      <c r="C167" t="s">
        <v>1947</v>
      </c>
      <c r="D167">
        <v>2</v>
      </c>
      <c r="E167" t="s">
        <v>1447</v>
      </c>
      <c r="F167" t="s">
        <v>1948</v>
      </c>
      <c r="G167" t="s">
        <v>1892</v>
      </c>
      <c r="H167" t="s">
        <v>1799</v>
      </c>
      <c r="I167" t="s">
        <v>1799</v>
      </c>
      <c r="J167">
        <v>1120532.9220155601</v>
      </c>
      <c r="K167" t="s">
        <v>1799</v>
      </c>
      <c r="L167" t="s">
        <v>1799</v>
      </c>
      <c r="M167" t="s">
        <v>1799</v>
      </c>
      <c r="N167" t="s">
        <v>1799</v>
      </c>
      <c r="O167" s="184" t="str">
        <f>"["&amp;$C167&amp;"]["&amp;$D167&amp;"]["&amp;$F167&amp;"]"</f>
        <v>[S05_InstallationFuelConsEmissions][2][FuelConsumption]</v>
      </c>
    </row>
    <row r="168" spans="1:15" x14ac:dyDescent="0.3">
      <c r="A168" t="s">
        <v>1793</v>
      </c>
      <c r="B168" t="s">
        <v>1946</v>
      </c>
      <c r="C168" t="s">
        <v>1947</v>
      </c>
      <c r="D168">
        <v>3</v>
      </c>
      <c r="E168" t="s">
        <v>1447</v>
      </c>
      <c r="F168" t="s">
        <v>1948</v>
      </c>
      <c r="G168" t="s">
        <v>1892</v>
      </c>
      <c r="H168" t="s">
        <v>1799</v>
      </c>
      <c r="I168" t="s">
        <v>1799</v>
      </c>
      <c r="J168">
        <v>0.81984000000000001</v>
      </c>
      <c r="K168" t="s">
        <v>1799</v>
      </c>
      <c r="L168" t="s">
        <v>1799</v>
      </c>
      <c r="M168" t="s">
        <v>1799</v>
      </c>
      <c r="N168" t="s">
        <v>1799</v>
      </c>
      <c r="O168" s="184" t="str">
        <f>"["&amp;$C168&amp;"]["&amp;$D168&amp;"]["&amp;$F168&amp;"]"</f>
        <v>[S05_InstallationFuelConsEmissions][3][FuelConsumption]</v>
      </c>
    </row>
    <row r="169" spans="1:15" x14ac:dyDescent="0.3">
      <c r="A169" t="s">
        <v>1793</v>
      </c>
      <c r="B169" t="s">
        <v>1946</v>
      </c>
      <c r="C169" t="s">
        <v>1947</v>
      </c>
      <c r="D169">
        <v>4</v>
      </c>
      <c r="E169" t="s">
        <v>1447</v>
      </c>
      <c r="F169" t="s">
        <v>1948</v>
      </c>
      <c r="G169" t="s">
        <v>1892</v>
      </c>
      <c r="H169" t="s">
        <v>1799</v>
      </c>
      <c r="I169" t="s">
        <v>1799</v>
      </c>
      <c r="J169">
        <v>6065.7884092699996</v>
      </c>
      <c r="K169" t="s">
        <v>1799</v>
      </c>
      <c r="L169" t="s">
        <v>1799</v>
      </c>
      <c r="M169" t="s">
        <v>1799</v>
      </c>
      <c r="N169" t="s">
        <v>1799</v>
      </c>
      <c r="O169" s="184" t="str">
        <f>"["&amp;$C169&amp;"]["&amp;$D169&amp;"]["&amp;$F169&amp;"]"</f>
        <v>[S05_InstallationFuelConsEmissions][4][FuelConsumption]</v>
      </c>
    </row>
    <row r="170" spans="1:15" x14ac:dyDescent="0.3">
      <c r="A170" t="s">
        <v>1793</v>
      </c>
      <c r="B170" t="s">
        <v>1946</v>
      </c>
      <c r="C170" t="s">
        <v>1947</v>
      </c>
      <c r="D170">
        <v>5</v>
      </c>
      <c r="E170" t="s">
        <v>1447</v>
      </c>
      <c r="F170" t="s">
        <v>1948</v>
      </c>
      <c r="G170" t="s">
        <v>1892</v>
      </c>
      <c r="H170" t="s">
        <v>1799</v>
      </c>
      <c r="I170" t="s">
        <v>1799</v>
      </c>
      <c r="J170">
        <v>1293505.28236114</v>
      </c>
      <c r="K170" t="s">
        <v>1799</v>
      </c>
      <c r="L170" t="s">
        <v>1799</v>
      </c>
      <c r="M170" t="s">
        <v>1799</v>
      </c>
      <c r="N170" t="s">
        <v>1799</v>
      </c>
      <c r="O170" s="184" t="str">
        <f>"["&amp;$C170&amp;"]["&amp;$D170&amp;"]["&amp;$F170&amp;"]"</f>
        <v>[S05_InstallationFuelConsEmissions][5][FuelConsumption]</v>
      </c>
    </row>
    <row r="171" spans="1:15" x14ac:dyDescent="0.3">
      <c r="A171" t="s">
        <v>1793</v>
      </c>
      <c r="B171" t="s">
        <v>1946</v>
      </c>
      <c r="C171" t="s">
        <v>1947</v>
      </c>
      <c r="D171">
        <v>6</v>
      </c>
      <c r="E171" t="s">
        <v>1447</v>
      </c>
      <c r="F171" t="s">
        <v>1948</v>
      </c>
      <c r="G171" t="s">
        <v>1892</v>
      </c>
      <c r="H171" t="s">
        <v>1799</v>
      </c>
      <c r="I171" t="s">
        <v>1799</v>
      </c>
      <c r="J171">
        <v>54823.372500810001</v>
      </c>
      <c r="K171" t="s">
        <v>1799</v>
      </c>
      <c r="L171" t="s">
        <v>1799</v>
      </c>
      <c r="M171" t="s">
        <v>1799</v>
      </c>
      <c r="N171" t="s">
        <v>1799</v>
      </c>
      <c r="O171" s="184" t="str">
        <f>"["&amp;$C171&amp;"]["&amp;$D171&amp;"]["&amp;$F171&amp;"]"</f>
        <v>[S05_InstallationFuelConsEmissions][6][FuelConsumption]</v>
      </c>
    </row>
    <row r="172" spans="1:15" x14ac:dyDescent="0.3">
      <c r="A172" t="s">
        <v>1793</v>
      </c>
      <c r="B172" t="s">
        <v>1946</v>
      </c>
      <c r="C172" t="s">
        <v>1947</v>
      </c>
      <c r="D172">
        <v>7</v>
      </c>
      <c r="E172" t="s">
        <v>1447</v>
      </c>
      <c r="F172" t="s">
        <v>1948</v>
      </c>
      <c r="G172" t="s">
        <v>1892</v>
      </c>
      <c r="H172" t="s">
        <v>1799</v>
      </c>
      <c r="I172" t="s">
        <v>1799</v>
      </c>
      <c r="J172">
        <v>72996.887916349995</v>
      </c>
      <c r="K172" t="s">
        <v>1799</v>
      </c>
      <c r="L172" t="s">
        <v>1799</v>
      </c>
      <c r="M172" t="s">
        <v>1799</v>
      </c>
      <c r="N172" t="s">
        <v>1799</v>
      </c>
      <c r="O172" s="184" t="str">
        <f>"["&amp;$C172&amp;"]["&amp;$D172&amp;"]["&amp;$F172&amp;"]"</f>
        <v>[S05_InstallationFuelConsEmissions][7][FuelConsumption]</v>
      </c>
    </row>
    <row r="173" spans="1:15" x14ac:dyDescent="0.3">
      <c r="A173" t="s">
        <v>1793</v>
      </c>
      <c r="B173" t="s">
        <v>1946</v>
      </c>
      <c r="C173" t="s">
        <v>1947</v>
      </c>
      <c r="D173">
        <v>8</v>
      </c>
      <c r="E173" t="s">
        <v>1447</v>
      </c>
      <c r="F173" t="s">
        <v>1948</v>
      </c>
      <c r="G173" t="s">
        <v>1892</v>
      </c>
      <c r="H173" t="s">
        <v>1799</v>
      </c>
      <c r="I173" t="s">
        <v>1799</v>
      </c>
      <c r="J173">
        <v>219918.89914643799</v>
      </c>
      <c r="K173" t="s">
        <v>1799</v>
      </c>
      <c r="L173" t="s">
        <v>1799</v>
      </c>
      <c r="M173" t="s">
        <v>1799</v>
      </c>
      <c r="N173" t="s">
        <v>1799</v>
      </c>
      <c r="O173" s="184" t="str">
        <f>"["&amp;$C173&amp;"]["&amp;$D173&amp;"]["&amp;$F173&amp;"]"</f>
        <v>[S05_InstallationFuelConsEmissions][8][FuelConsumption]</v>
      </c>
    </row>
    <row r="174" spans="1:15" x14ac:dyDescent="0.3">
      <c r="A174" t="s">
        <v>1793</v>
      </c>
      <c r="B174" t="s">
        <v>1946</v>
      </c>
      <c r="C174" t="s">
        <v>1947</v>
      </c>
      <c r="D174">
        <v>9</v>
      </c>
      <c r="E174" t="s">
        <v>1447</v>
      </c>
      <c r="F174" t="s">
        <v>1948</v>
      </c>
      <c r="G174" t="s">
        <v>1892</v>
      </c>
      <c r="H174" t="s">
        <v>1799</v>
      </c>
      <c r="I174" t="s">
        <v>1799</v>
      </c>
      <c r="J174">
        <v>46472.277657795203</v>
      </c>
      <c r="K174" t="s">
        <v>1799</v>
      </c>
      <c r="L174" t="s">
        <v>1799</v>
      </c>
      <c r="M174" t="s">
        <v>1799</v>
      </c>
      <c r="N174" t="s">
        <v>1799</v>
      </c>
      <c r="O174" s="184" t="str">
        <f>"["&amp;$C174&amp;"]["&amp;$D174&amp;"]["&amp;$F174&amp;"]"</f>
        <v>[S05_InstallationFuelConsEmissions][9][FuelConsumption]</v>
      </c>
    </row>
    <row r="175" spans="1:15" x14ac:dyDescent="0.3">
      <c r="A175" t="s">
        <v>1793</v>
      </c>
      <c r="B175" t="s">
        <v>1946</v>
      </c>
      <c r="C175" t="s">
        <v>1947</v>
      </c>
      <c r="D175">
        <v>10</v>
      </c>
      <c r="E175" t="s">
        <v>1447</v>
      </c>
      <c r="F175" t="s">
        <v>1948</v>
      </c>
      <c r="G175" t="s">
        <v>1892</v>
      </c>
      <c r="H175" t="s">
        <v>1799</v>
      </c>
      <c r="I175" t="s">
        <v>1799</v>
      </c>
      <c r="J175">
        <v>879.79476354000099</v>
      </c>
      <c r="K175" t="s">
        <v>1799</v>
      </c>
      <c r="L175" t="s">
        <v>1799</v>
      </c>
      <c r="M175" t="s">
        <v>1799</v>
      </c>
      <c r="N175" t="s">
        <v>1799</v>
      </c>
      <c r="O175" s="184" t="str">
        <f>"["&amp;$C175&amp;"]["&amp;$D175&amp;"]["&amp;$F175&amp;"]"</f>
        <v>[S05_InstallationFuelConsEmissions][10][FuelConsumption]</v>
      </c>
    </row>
    <row r="176" spans="1:15" x14ac:dyDescent="0.3">
      <c r="A176" t="s">
        <v>1793</v>
      </c>
      <c r="B176" t="s">
        <v>1949</v>
      </c>
      <c r="C176" t="s">
        <v>1947</v>
      </c>
      <c r="D176">
        <v>11</v>
      </c>
      <c r="E176" t="s">
        <v>1447</v>
      </c>
      <c r="F176" t="s">
        <v>1948</v>
      </c>
      <c r="G176" t="s">
        <v>1892</v>
      </c>
      <c r="H176" t="s">
        <v>1799</v>
      </c>
      <c r="I176" t="s">
        <v>1799</v>
      </c>
      <c r="J176">
        <v>3380.3028110700002</v>
      </c>
      <c r="K176" t="s">
        <v>1799</v>
      </c>
      <c r="L176" t="s">
        <v>1799</v>
      </c>
      <c r="M176" t="s">
        <v>1799</v>
      </c>
      <c r="N176" t="s">
        <v>1799</v>
      </c>
      <c r="O176" s="184" t="str">
        <f>"["&amp;$C176&amp;"]["&amp;$D176&amp;"]["&amp;$F176&amp;"]"</f>
        <v>[S05_InstallationFuelConsEmissions][11][FuelConsumption]</v>
      </c>
    </row>
    <row r="177" spans="1:15" x14ac:dyDescent="0.3">
      <c r="A177" t="s">
        <v>1793</v>
      </c>
      <c r="B177" t="s">
        <v>1950</v>
      </c>
      <c r="C177" t="s">
        <v>1947</v>
      </c>
      <c r="D177">
        <v>12</v>
      </c>
      <c r="E177" t="s">
        <v>1447</v>
      </c>
      <c r="F177" t="s">
        <v>1948</v>
      </c>
      <c r="G177" t="s">
        <v>1892</v>
      </c>
      <c r="H177" t="s">
        <v>1799</v>
      </c>
      <c r="I177" t="s">
        <v>1799</v>
      </c>
      <c r="J177">
        <v>415334.82299474202</v>
      </c>
      <c r="K177" t="s">
        <v>1799</v>
      </c>
      <c r="L177" t="s">
        <v>1799</v>
      </c>
      <c r="M177" t="s">
        <v>1799</v>
      </c>
      <c r="N177" t="s">
        <v>1799</v>
      </c>
      <c r="O177" s="184" t="str">
        <f>"["&amp;$C177&amp;"]["&amp;$D177&amp;"]["&amp;$F177&amp;"]"</f>
        <v>[S05_InstallationFuelConsEmissions][12][FuelConsumption]</v>
      </c>
    </row>
    <row r="178" spans="1:15" x14ac:dyDescent="0.3">
      <c r="A178" t="s">
        <v>1793</v>
      </c>
      <c r="B178" t="s">
        <v>1946</v>
      </c>
      <c r="C178" t="s">
        <v>1947</v>
      </c>
      <c r="D178">
        <v>1</v>
      </c>
      <c r="E178" t="s">
        <v>1447</v>
      </c>
      <c r="F178" t="s">
        <v>1951</v>
      </c>
      <c r="G178" t="s">
        <v>1892</v>
      </c>
      <c r="H178" t="s">
        <v>1799</v>
      </c>
      <c r="I178" t="s">
        <v>1799</v>
      </c>
      <c r="J178">
        <v>51502924.816</v>
      </c>
      <c r="K178" t="s">
        <v>1799</v>
      </c>
      <c r="L178" t="s">
        <v>1799</v>
      </c>
      <c r="M178" t="s">
        <v>1799</v>
      </c>
      <c r="N178" t="s">
        <v>1799</v>
      </c>
      <c r="O178" s="184" t="str">
        <f>"["&amp;$C178&amp;"]["&amp;$D178&amp;"]["&amp;$F178&amp;"]"</f>
        <v>[S05_InstallationFuelConsEmissions][1][FuelAnnualEmissions]</v>
      </c>
    </row>
    <row r="179" spans="1:15" x14ac:dyDescent="0.3">
      <c r="A179" t="s">
        <v>1793</v>
      </c>
      <c r="B179" t="s">
        <v>1946</v>
      </c>
      <c r="C179" t="s">
        <v>1947</v>
      </c>
      <c r="D179">
        <v>2</v>
      </c>
      <c r="E179" t="s">
        <v>1447</v>
      </c>
      <c r="F179" t="s">
        <v>1951</v>
      </c>
      <c r="G179" t="s">
        <v>1892</v>
      </c>
      <c r="H179" t="s">
        <v>1799</v>
      </c>
      <c r="I179" t="s">
        <v>1799</v>
      </c>
      <c r="J179">
        <v>124417595.39</v>
      </c>
      <c r="K179" t="s">
        <v>1799</v>
      </c>
      <c r="L179" t="s">
        <v>1799</v>
      </c>
      <c r="M179" t="s">
        <v>1799</v>
      </c>
      <c r="N179" t="s">
        <v>1799</v>
      </c>
      <c r="O179" s="184" t="str">
        <f>"["&amp;$C179&amp;"]["&amp;$D179&amp;"]["&amp;$F179&amp;"]"</f>
        <v>[S05_InstallationFuelConsEmissions][2][FuelAnnualEmissions]</v>
      </c>
    </row>
    <row r="180" spans="1:15" x14ac:dyDescent="0.3">
      <c r="A180" t="s">
        <v>1793</v>
      </c>
      <c r="B180" t="s">
        <v>1946</v>
      </c>
      <c r="C180" t="s">
        <v>1947</v>
      </c>
      <c r="D180">
        <v>3</v>
      </c>
      <c r="E180" t="s">
        <v>1447</v>
      </c>
      <c r="F180" t="s">
        <v>1951</v>
      </c>
      <c r="G180" t="s">
        <v>1892</v>
      </c>
      <c r="H180" t="s">
        <v>1799</v>
      </c>
      <c r="I180" t="s">
        <v>1799</v>
      </c>
      <c r="J180">
        <v>86.903000000000006</v>
      </c>
      <c r="K180" t="s">
        <v>1799</v>
      </c>
      <c r="L180" t="s">
        <v>1799</v>
      </c>
      <c r="M180" t="s">
        <v>1799</v>
      </c>
      <c r="N180" t="s">
        <v>1799</v>
      </c>
      <c r="O180" s="184" t="str">
        <f>"["&amp;$C180&amp;"]["&amp;$D180&amp;"]["&amp;$F180&amp;"]"</f>
        <v>[S05_InstallationFuelConsEmissions][3][FuelAnnualEmissions]</v>
      </c>
    </row>
    <row r="181" spans="1:15" x14ac:dyDescent="0.3">
      <c r="A181" t="s">
        <v>1793</v>
      </c>
      <c r="B181" t="s">
        <v>1946</v>
      </c>
      <c r="C181" t="s">
        <v>1947</v>
      </c>
      <c r="D181">
        <v>4</v>
      </c>
      <c r="E181" t="s">
        <v>1447</v>
      </c>
      <c r="F181" t="s">
        <v>1951</v>
      </c>
      <c r="G181" t="s">
        <v>1892</v>
      </c>
      <c r="H181" t="s">
        <v>1799</v>
      </c>
      <c r="I181" t="s">
        <v>1799</v>
      </c>
      <c r="J181">
        <v>656515.83100000001</v>
      </c>
      <c r="K181" t="s">
        <v>1799</v>
      </c>
      <c r="L181" t="s">
        <v>1799</v>
      </c>
      <c r="M181" t="s">
        <v>1799</v>
      </c>
      <c r="N181" t="s">
        <v>1799</v>
      </c>
      <c r="O181" s="184" t="str">
        <f>"["&amp;$C181&amp;"]["&amp;$D181&amp;"]["&amp;$F181&amp;"]"</f>
        <v>[S05_InstallationFuelConsEmissions][4][FuelAnnualEmissions]</v>
      </c>
    </row>
    <row r="182" spans="1:15" x14ac:dyDescent="0.3">
      <c r="A182" t="s">
        <v>1793</v>
      </c>
      <c r="B182" t="s">
        <v>1946</v>
      </c>
      <c r="C182" t="s">
        <v>1947</v>
      </c>
      <c r="D182">
        <v>5</v>
      </c>
      <c r="E182" t="s">
        <v>1447</v>
      </c>
      <c r="F182" t="s">
        <v>1951</v>
      </c>
      <c r="G182" t="s">
        <v>1892</v>
      </c>
      <c r="H182" t="s">
        <v>1799</v>
      </c>
      <c r="I182" t="s">
        <v>1799</v>
      </c>
      <c r="J182">
        <v>72291929.762999803</v>
      </c>
      <c r="K182" t="s">
        <v>1799</v>
      </c>
      <c r="L182" t="s">
        <v>1799</v>
      </c>
      <c r="M182" t="s">
        <v>1799</v>
      </c>
      <c r="N182" t="s">
        <v>1799</v>
      </c>
      <c r="O182" s="184" t="str">
        <f>"["&amp;$C182&amp;"]["&amp;$D182&amp;"]["&amp;$F182&amp;"]"</f>
        <v>[S05_InstallationFuelConsEmissions][5][FuelAnnualEmissions]</v>
      </c>
    </row>
    <row r="183" spans="1:15" x14ac:dyDescent="0.3">
      <c r="A183" t="s">
        <v>1793</v>
      </c>
      <c r="B183" t="s">
        <v>1946</v>
      </c>
      <c r="C183" t="s">
        <v>1947</v>
      </c>
      <c r="D183">
        <v>6</v>
      </c>
      <c r="E183" t="s">
        <v>1447</v>
      </c>
      <c r="F183" t="s">
        <v>1951</v>
      </c>
      <c r="G183" t="s">
        <v>1892</v>
      </c>
      <c r="H183" t="s">
        <v>1799</v>
      </c>
      <c r="I183" t="s">
        <v>1799</v>
      </c>
      <c r="J183">
        <v>2281831.872</v>
      </c>
      <c r="K183" t="s">
        <v>1799</v>
      </c>
      <c r="L183" t="s">
        <v>1799</v>
      </c>
      <c r="M183" t="s">
        <v>1799</v>
      </c>
      <c r="N183" t="s">
        <v>1799</v>
      </c>
      <c r="O183" s="184" t="str">
        <f>"["&amp;$C183&amp;"]["&amp;$D183&amp;"]["&amp;$F183&amp;"]"</f>
        <v>[S05_InstallationFuelConsEmissions][6][FuelAnnualEmissions]</v>
      </c>
    </row>
    <row r="184" spans="1:15" x14ac:dyDescent="0.3">
      <c r="A184" t="s">
        <v>1793</v>
      </c>
      <c r="B184" t="s">
        <v>1946</v>
      </c>
      <c r="C184" t="s">
        <v>1947</v>
      </c>
      <c r="D184">
        <v>7</v>
      </c>
      <c r="E184" t="s">
        <v>1447</v>
      </c>
      <c r="F184" t="s">
        <v>1951</v>
      </c>
      <c r="G184" t="s">
        <v>1892</v>
      </c>
      <c r="H184" t="s">
        <v>1799</v>
      </c>
      <c r="I184" t="s">
        <v>1799</v>
      </c>
      <c r="J184">
        <v>18907815.535999998</v>
      </c>
      <c r="K184" t="s">
        <v>1799</v>
      </c>
      <c r="L184" t="s">
        <v>1799</v>
      </c>
      <c r="M184" t="s">
        <v>1799</v>
      </c>
      <c r="N184" t="s">
        <v>1799</v>
      </c>
      <c r="O184" s="184" t="str">
        <f>"["&amp;$C184&amp;"]["&amp;$D184&amp;"]["&amp;$F184&amp;"]"</f>
        <v>[S05_InstallationFuelConsEmissions][7][FuelAnnualEmissions]</v>
      </c>
    </row>
    <row r="185" spans="1:15" x14ac:dyDescent="0.3">
      <c r="A185" t="s">
        <v>1793</v>
      </c>
      <c r="B185" t="s">
        <v>1946</v>
      </c>
      <c r="C185" t="s">
        <v>1947</v>
      </c>
      <c r="D185">
        <v>8</v>
      </c>
      <c r="E185" t="s">
        <v>1447</v>
      </c>
      <c r="F185" t="s">
        <v>1951</v>
      </c>
      <c r="G185" t="s">
        <v>1892</v>
      </c>
      <c r="H185" t="s">
        <v>1799</v>
      </c>
      <c r="I185" t="s">
        <v>1799</v>
      </c>
      <c r="J185">
        <v>11859682.745999999</v>
      </c>
      <c r="K185" t="s">
        <v>1799</v>
      </c>
      <c r="L185" t="s">
        <v>1799</v>
      </c>
      <c r="M185" t="s">
        <v>1799</v>
      </c>
      <c r="N185" t="s">
        <v>1799</v>
      </c>
      <c r="O185" s="184" t="str">
        <f>"["&amp;$C185&amp;"]["&amp;$D185&amp;"]["&amp;$F185&amp;"]"</f>
        <v>[S05_InstallationFuelConsEmissions][8][FuelAnnualEmissions]</v>
      </c>
    </row>
    <row r="186" spans="1:15" x14ac:dyDescent="0.3">
      <c r="A186" t="s">
        <v>1793</v>
      </c>
      <c r="B186" t="s">
        <v>1946</v>
      </c>
      <c r="C186" t="s">
        <v>1947</v>
      </c>
      <c r="D186">
        <v>9</v>
      </c>
      <c r="E186" t="s">
        <v>1447</v>
      </c>
      <c r="F186" t="s">
        <v>1951</v>
      </c>
      <c r="G186" t="s">
        <v>1892</v>
      </c>
      <c r="H186" t="s">
        <v>1799</v>
      </c>
      <c r="I186" t="s">
        <v>1799</v>
      </c>
      <c r="J186">
        <v>3615533.9820000101</v>
      </c>
      <c r="K186" t="s">
        <v>1799</v>
      </c>
      <c r="L186" t="s">
        <v>1799</v>
      </c>
      <c r="M186" t="s">
        <v>1799</v>
      </c>
      <c r="N186" t="s">
        <v>1799</v>
      </c>
      <c r="O186" s="184" t="str">
        <f>"["&amp;$C186&amp;"]["&amp;$D186&amp;"]["&amp;$F186&amp;"]"</f>
        <v>[S05_InstallationFuelConsEmissions][9][FuelAnnualEmissions]</v>
      </c>
    </row>
    <row r="187" spans="1:15" x14ac:dyDescent="0.3">
      <c r="A187" t="s">
        <v>1793</v>
      </c>
      <c r="B187" t="s">
        <v>1946</v>
      </c>
      <c r="C187" t="s">
        <v>1947</v>
      </c>
      <c r="D187">
        <v>10</v>
      </c>
      <c r="E187" t="s">
        <v>1447</v>
      </c>
      <c r="F187" t="s">
        <v>1951</v>
      </c>
      <c r="G187" t="s">
        <v>1892</v>
      </c>
      <c r="H187" t="s">
        <v>1799</v>
      </c>
      <c r="I187" t="s">
        <v>1799</v>
      </c>
      <c r="J187">
        <v>56652.383000000002</v>
      </c>
      <c r="K187" t="s">
        <v>1799</v>
      </c>
      <c r="L187" t="s">
        <v>1799</v>
      </c>
      <c r="M187" t="s">
        <v>1799</v>
      </c>
      <c r="N187" t="s">
        <v>1799</v>
      </c>
      <c r="O187" s="184" t="str">
        <f>"["&amp;$C187&amp;"]["&amp;$D187&amp;"]["&amp;$F187&amp;"]"</f>
        <v>[S05_InstallationFuelConsEmissions][10][FuelAnnualEmissions]</v>
      </c>
    </row>
    <row r="188" spans="1:15" x14ac:dyDescent="0.3">
      <c r="A188" t="s">
        <v>1793</v>
      </c>
      <c r="B188" t="s">
        <v>1946</v>
      </c>
      <c r="C188" t="s">
        <v>1947</v>
      </c>
      <c r="D188">
        <v>11</v>
      </c>
      <c r="E188" t="s">
        <v>1447</v>
      </c>
      <c r="F188" t="s">
        <v>1951</v>
      </c>
      <c r="G188" t="s">
        <v>1892</v>
      </c>
      <c r="H188" t="s">
        <v>1799</v>
      </c>
      <c r="I188" t="s">
        <v>1799</v>
      </c>
      <c r="J188">
        <v>275126.51199999999</v>
      </c>
      <c r="K188" t="s">
        <v>1799</v>
      </c>
      <c r="L188" t="s">
        <v>1799</v>
      </c>
      <c r="M188" t="s">
        <v>1799</v>
      </c>
      <c r="N188" t="s">
        <v>1799</v>
      </c>
      <c r="O188" s="184" t="str">
        <f>"["&amp;$C188&amp;"]["&amp;$D188&amp;"]["&amp;$F188&amp;"]"</f>
        <v>[S05_InstallationFuelConsEmissions][11][FuelAnnualEmissions]</v>
      </c>
    </row>
    <row r="189" spans="1:15" x14ac:dyDescent="0.3">
      <c r="A189" t="s">
        <v>1793</v>
      </c>
      <c r="B189" t="s">
        <v>1946</v>
      </c>
      <c r="C189" t="s">
        <v>1947</v>
      </c>
      <c r="D189">
        <v>12</v>
      </c>
      <c r="E189" t="s">
        <v>1447</v>
      </c>
      <c r="F189" t="s">
        <v>1951</v>
      </c>
      <c r="G189" t="s">
        <v>1892</v>
      </c>
      <c r="H189" t="s">
        <v>1799</v>
      </c>
      <c r="I189" t="s">
        <v>1799</v>
      </c>
      <c r="J189">
        <v>27237087.916000001</v>
      </c>
      <c r="K189" t="s">
        <v>1799</v>
      </c>
      <c r="L189" t="s">
        <v>1799</v>
      </c>
      <c r="M189" t="s">
        <v>1799</v>
      </c>
      <c r="N189" t="s">
        <v>1799</v>
      </c>
      <c r="O189" s="184" t="str">
        <f>"["&amp;$C189&amp;"]["&amp;$D189&amp;"]["&amp;$F189&amp;"]"</f>
        <v>[S05_InstallationFuelConsEmissions][12][FuelAnnualEmissions]</v>
      </c>
    </row>
    <row r="190" spans="1:15" x14ac:dyDescent="0.3">
      <c r="A190" t="s">
        <v>1793</v>
      </c>
      <c r="B190" t="s">
        <v>1949</v>
      </c>
      <c r="C190" t="s">
        <v>1952</v>
      </c>
      <c r="D190">
        <v>1</v>
      </c>
      <c r="E190" t="s">
        <v>1447</v>
      </c>
      <c r="F190" t="s">
        <v>1953</v>
      </c>
      <c r="G190" t="s">
        <v>1737</v>
      </c>
      <c r="H190" t="s">
        <v>1799</v>
      </c>
      <c r="I190" t="s">
        <v>1799</v>
      </c>
      <c r="J190" t="s">
        <v>1799</v>
      </c>
      <c r="K190" t="s">
        <v>1799</v>
      </c>
      <c r="L190" t="s">
        <v>1453</v>
      </c>
      <c r="M190" t="s">
        <v>1799</v>
      </c>
      <c r="N190" t="s">
        <v>1799</v>
      </c>
      <c r="O190" s="184" t="str">
        <f>"["&amp;$C190&amp;"]["&amp;$D190&amp;"]["&amp;$F190&amp;"]"</f>
        <v>[S05_AggregateTotalEmissionsByCRF][1][CRFCategory1]</v>
      </c>
    </row>
    <row r="191" spans="1:15" x14ac:dyDescent="0.3">
      <c r="A191" t="s">
        <v>1793</v>
      </c>
      <c r="B191" t="s">
        <v>1949</v>
      </c>
      <c r="C191" t="s">
        <v>1952</v>
      </c>
      <c r="D191">
        <v>2</v>
      </c>
      <c r="E191" t="s">
        <v>1447</v>
      </c>
      <c r="F191" t="s">
        <v>1953</v>
      </c>
      <c r="G191" t="s">
        <v>1737</v>
      </c>
      <c r="H191" t="s">
        <v>1799</v>
      </c>
      <c r="I191" t="s">
        <v>1799</v>
      </c>
      <c r="J191" t="s">
        <v>1799</v>
      </c>
      <c r="K191" t="s">
        <v>1799</v>
      </c>
      <c r="L191" t="s">
        <v>1481</v>
      </c>
      <c r="M191" t="s">
        <v>1799</v>
      </c>
      <c r="N191" t="s">
        <v>1799</v>
      </c>
      <c r="O191" s="184" t="str">
        <f>"["&amp;$C191&amp;"]["&amp;$D191&amp;"]["&amp;$F191&amp;"]"</f>
        <v>[S05_AggregateTotalEmissionsByCRF][2][CRFCategory1]</v>
      </c>
    </row>
    <row r="192" spans="1:15" x14ac:dyDescent="0.3">
      <c r="A192" t="s">
        <v>1793</v>
      </c>
      <c r="B192" t="s">
        <v>1949</v>
      </c>
      <c r="C192" t="s">
        <v>1952</v>
      </c>
      <c r="D192">
        <v>3</v>
      </c>
      <c r="E192" t="s">
        <v>1447</v>
      </c>
      <c r="F192" t="s">
        <v>1953</v>
      </c>
      <c r="G192" t="s">
        <v>1737</v>
      </c>
      <c r="H192" t="s">
        <v>1799</v>
      </c>
      <c r="I192" t="s">
        <v>1799</v>
      </c>
      <c r="J192" t="s">
        <v>1799</v>
      </c>
      <c r="K192" t="s">
        <v>1799</v>
      </c>
      <c r="L192" t="s">
        <v>1503</v>
      </c>
      <c r="M192" t="s">
        <v>1799</v>
      </c>
      <c r="N192" t="s">
        <v>1799</v>
      </c>
      <c r="O192" s="184" t="str">
        <f>"["&amp;$C192&amp;"]["&amp;$D192&amp;"]["&amp;$F192&amp;"]"</f>
        <v>[S05_AggregateTotalEmissionsByCRF][3][CRFCategory1]</v>
      </c>
    </row>
    <row r="193" spans="1:15" x14ac:dyDescent="0.3">
      <c r="A193" t="s">
        <v>1793</v>
      </c>
      <c r="B193" t="s">
        <v>1949</v>
      </c>
      <c r="C193" t="s">
        <v>1952</v>
      </c>
      <c r="D193">
        <v>4</v>
      </c>
      <c r="E193" t="s">
        <v>1447</v>
      </c>
      <c r="F193" t="s">
        <v>1953</v>
      </c>
      <c r="G193" t="s">
        <v>1737</v>
      </c>
      <c r="H193" t="s">
        <v>1799</v>
      </c>
      <c r="I193" t="s">
        <v>1799</v>
      </c>
      <c r="J193" t="s">
        <v>1799</v>
      </c>
      <c r="K193" t="s">
        <v>1799</v>
      </c>
      <c r="L193" t="s">
        <v>1531</v>
      </c>
      <c r="M193" t="s">
        <v>1799</v>
      </c>
      <c r="N193" t="s">
        <v>1799</v>
      </c>
      <c r="O193" s="184" t="str">
        <f>"["&amp;$C193&amp;"]["&amp;$D193&amp;"]["&amp;$F193&amp;"]"</f>
        <v>[S05_AggregateTotalEmissionsByCRF][4][CRFCategory1]</v>
      </c>
    </row>
    <row r="194" spans="1:15" x14ac:dyDescent="0.3">
      <c r="A194" t="s">
        <v>1793</v>
      </c>
      <c r="B194" t="s">
        <v>1949</v>
      </c>
      <c r="C194" t="s">
        <v>1952</v>
      </c>
      <c r="D194">
        <v>5</v>
      </c>
      <c r="E194" t="s">
        <v>1447</v>
      </c>
      <c r="F194" t="s">
        <v>1953</v>
      </c>
      <c r="G194" t="s">
        <v>1737</v>
      </c>
      <c r="H194" t="s">
        <v>1799</v>
      </c>
      <c r="I194" t="s">
        <v>1799</v>
      </c>
      <c r="J194" t="s">
        <v>1799</v>
      </c>
      <c r="K194" t="s">
        <v>1799</v>
      </c>
      <c r="L194" t="s">
        <v>1541</v>
      </c>
      <c r="M194" t="s">
        <v>1799</v>
      </c>
      <c r="N194" t="s">
        <v>1799</v>
      </c>
      <c r="O194" s="184" t="str">
        <f>"["&amp;$C194&amp;"]["&amp;$D194&amp;"]["&amp;$F194&amp;"]"</f>
        <v>[S05_AggregateTotalEmissionsByCRF][5][CRFCategory1]</v>
      </c>
    </row>
    <row r="195" spans="1:15" x14ac:dyDescent="0.3">
      <c r="A195" t="s">
        <v>1793</v>
      </c>
      <c r="B195" t="s">
        <v>1949</v>
      </c>
      <c r="C195" t="s">
        <v>1952</v>
      </c>
      <c r="D195">
        <v>6</v>
      </c>
      <c r="E195" t="s">
        <v>1447</v>
      </c>
      <c r="F195" t="s">
        <v>1953</v>
      </c>
      <c r="G195" t="s">
        <v>1737</v>
      </c>
      <c r="H195" t="s">
        <v>1799</v>
      </c>
      <c r="I195" t="s">
        <v>1799</v>
      </c>
      <c r="J195" t="s">
        <v>1799</v>
      </c>
      <c r="K195" t="s">
        <v>1799</v>
      </c>
      <c r="L195" t="s">
        <v>1550</v>
      </c>
      <c r="M195" t="s">
        <v>1799</v>
      </c>
      <c r="N195" t="s">
        <v>1799</v>
      </c>
      <c r="O195" s="184" t="str">
        <f>"["&amp;$C195&amp;"]["&amp;$D195&amp;"]["&amp;$F195&amp;"]"</f>
        <v>[S05_AggregateTotalEmissionsByCRF][6][CRFCategory1]</v>
      </c>
    </row>
    <row r="196" spans="1:15" x14ac:dyDescent="0.3">
      <c r="A196" t="s">
        <v>1793</v>
      </c>
      <c r="B196" t="s">
        <v>1949</v>
      </c>
      <c r="C196" t="s">
        <v>1952</v>
      </c>
      <c r="D196">
        <v>7</v>
      </c>
      <c r="E196" t="s">
        <v>1447</v>
      </c>
      <c r="F196" t="s">
        <v>1953</v>
      </c>
      <c r="G196" t="s">
        <v>1737</v>
      </c>
      <c r="H196" t="s">
        <v>1799</v>
      </c>
      <c r="I196" t="s">
        <v>1799</v>
      </c>
      <c r="J196" t="s">
        <v>1799</v>
      </c>
      <c r="K196" t="s">
        <v>1799</v>
      </c>
      <c r="L196" t="s">
        <v>1558</v>
      </c>
      <c r="M196" t="s">
        <v>1799</v>
      </c>
      <c r="N196" t="s">
        <v>1799</v>
      </c>
      <c r="O196" s="184" t="str">
        <f>"["&amp;$C196&amp;"]["&amp;$D196&amp;"]["&amp;$F196&amp;"]"</f>
        <v>[S05_AggregateTotalEmissionsByCRF][7][CRFCategory1]</v>
      </c>
    </row>
    <row r="197" spans="1:15" x14ac:dyDescent="0.3">
      <c r="A197" t="s">
        <v>1793</v>
      </c>
      <c r="B197" t="s">
        <v>1949</v>
      </c>
      <c r="C197" t="s">
        <v>1952</v>
      </c>
      <c r="D197">
        <v>8</v>
      </c>
      <c r="E197" t="s">
        <v>1447</v>
      </c>
      <c r="F197" t="s">
        <v>1953</v>
      </c>
      <c r="G197" t="s">
        <v>1737</v>
      </c>
      <c r="H197" t="s">
        <v>1799</v>
      </c>
      <c r="I197" t="s">
        <v>1799</v>
      </c>
      <c r="J197" t="s">
        <v>1799</v>
      </c>
      <c r="K197" t="s">
        <v>1799</v>
      </c>
      <c r="L197" t="s">
        <v>1563</v>
      </c>
      <c r="M197" t="s">
        <v>1799</v>
      </c>
      <c r="N197" t="s">
        <v>1799</v>
      </c>
      <c r="O197" s="184" t="str">
        <f>"["&amp;$C197&amp;"]["&amp;$D197&amp;"]["&amp;$F197&amp;"]"</f>
        <v>[S05_AggregateTotalEmissionsByCRF][8][CRFCategory1]</v>
      </c>
    </row>
    <row r="198" spans="1:15" x14ac:dyDescent="0.3">
      <c r="A198" t="s">
        <v>1793</v>
      </c>
      <c r="B198" t="s">
        <v>1949</v>
      </c>
      <c r="C198" t="s">
        <v>1952</v>
      </c>
      <c r="D198">
        <v>9</v>
      </c>
      <c r="E198" t="s">
        <v>1447</v>
      </c>
      <c r="F198" t="s">
        <v>1953</v>
      </c>
      <c r="G198" t="s">
        <v>1737</v>
      </c>
      <c r="H198" t="s">
        <v>1799</v>
      </c>
      <c r="I198" t="s">
        <v>1799</v>
      </c>
      <c r="J198" t="s">
        <v>1799</v>
      </c>
      <c r="K198" t="s">
        <v>1799</v>
      </c>
      <c r="L198" t="s">
        <v>1569</v>
      </c>
      <c r="M198" t="s">
        <v>1799</v>
      </c>
      <c r="N198" t="s">
        <v>1799</v>
      </c>
      <c r="O198" s="184" t="str">
        <f>"["&amp;$C198&amp;"]["&amp;$D198&amp;"]["&amp;$F198&amp;"]"</f>
        <v>[S05_AggregateTotalEmissionsByCRF][9][CRFCategory1]</v>
      </c>
    </row>
    <row r="199" spans="1:15" x14ac:dyDescent="0.3">
      <c r="A199" t="s">
        <v>1793</v>
      </c>
      <c r="B199" t="s">
        <v>1949</v>
      </c>
      <c r="C199" t="s">
        <v>1952</v>
      </c>
      <c r="D199">
        <v>10</v>
      </c>
      <c r="E199" t="s">
        <v>1447</v>
      </c>
      <c r="F199" t="s">
        <v>1953</v>
      </c>
      <c r="G199" t="s">
        <v>1737</v>
      </c>
      <c r="H199" t="s">
        <v>1799</v>
      </c>
      <c r="I199" t="s">
        <v>1799</v>
      </c>
      <c r="J199" t="s">
        <v>1799</v>
      </c>
      <c r="K199" t="s">
        <v>1799</v>
      </c>
      <c r="L199" t="s">
        <v>1574</v>
      </c>
      <c r="M199" t="s">
        <v>1799</v>
      </c>
      <c r="N199" t="s">
        <v>1799</v>
      </c>
      <c r="O199" s="184" t="str">
        <f>"["&amp;$C199&amp;"]["&amp;$D199&amp;"]["&amp;$F199&amp;"]"</f>
        <v>[S05_AggregateTotalEmissionsByCRF][10][CRFCategory1]</v>
      </c>
    </row>
    <row r="200" spans="1:15" x14ac:dyDescent="0.3">
      <c r="A200" t="s">
        <v>1793</v>
      </c>
      <c r="B200" t="s">
        <v>1949</v>
      </c>
      <c r="C200" t="s">
        <v>1952</v>
      </c>
      <c r="D200">
        <v>11</v>
      </c>
      <c r="E200" t="s">
        <v>1447</v>
      </c>
      <c r="F200" t="s">
        <v>1953</v>
      </c>
      <c r="G200" t="s">
        <v>1737</v>
      </c>
      <c r="H200" t="s">
        <v>1799</v>
      </c>
      <c r="I200" t="s">
        <v>1799</v>
      </c>
      <c r="J200" t="s">
        <v>1799</v>
      </c>
      <c r="K200" t="s">
        <v>1799</v>
      </c>
      <c r="L200" t="s">
        <v>1583</v>
      </c>
      <c r="M200" t="s">
        <v>1799</v>
      </c>
      <c r="N200" t="s">
        <v>1799</v>
      </c>
      <c r="O200" s="184" t="str">
        <f>"["&amp;$C200&amp;"]["&amp;$D200&amp;"]["&amp;$F200&amp;"]"</f>
        <v>[S05_AggregateTotalEmissionsByCRF][11][CRFCategory1]</v>
      </c>
    </row>
    <row r="201" spans="1:15" x14ac:dyDescent="0.3">
      <c r="A201" t="s">
        <v>1793</v>
      </c>
      <c r="B201" t="s">
        <v>1949</v>
      </c>
      <c r="C201" t="s">
        <v>1952</v>
      </c>
      <c r="D201">
        <v>12</v>
      </c>
      <c r="E201" t="s">
        <v>1447</v>
      </c>
      <c r="F201" t="s">
        <v>1953</v>
      </c>
      <c r="G201" t="s">
        <v>1737</v>
      </c>
      <c r="H201" t="s">
        <v>1799</v>
      </c>
      <c r="I201" t="s">
        <v>1799</v>
      </c>
      <c r="J201" t="s">
        <v>1799</v>
      </c>
      <c r="K201" t="s">
        <v>1799</v>
      </c>
      <c r="L201" t="s">
        <v>1593</v>
      </c>
      <c r="M201" t="s">
        <v>1799</v>
      </c>
      <c r="N201" t="s">
        <v>1799</v>
      </c>
      <c r="O201" s="184" t="str">
        <f>"["&amp;$C201&amp;"]["&amp;$D201&amp;"]["&amp;$F201&amp;"]"</f>
        <v>[S05_AggregateTotalEmissionsByCRF][12][CRFCategory1]</v>
      </c>
    </row>
    <row r="202" spans="1:15" x14ac:dyDescent="0.3">
      <c r="A202" t="s">
        <v>1793</v>
      </c>
      <c r="B202" t="s">
        <v>1949</v>
      </c>
      <c r="C202" t="s">
        <v>1952</v>
      </c>
      <c r="D202">
        <v>13</v>
      </c>
      <c r="E202" t="s">
        <v>1447</v>
      </c>
      <c r="F202" t="s">
        <v>1953</v>
      </c>
      <c r="G202" t="s">
        <v>1737</v>
      </c>
      <c r="H202" t="s">
        <v>1799</v>
      </c>
      <c r="I202" t="s">
        <v>1799</v>
      </c>
      <c r="J202" t="s">
        <v>1799</v>
      </c>
      <c r="K202" t="s">
        <v>1799</v>
      </c>
      <c r="L202" t="s">
        <v>1608</v>
      </c>
      <c r="M202" t="s">
        <v>1799</v>
      </c>
      <c r="N202" t="s">
        <v>1799</v>
      </c>
      <c r="O202" s="184" t="str">
        <f>"["&amp;$C202&amp;"]["&amp;$D202&amp;"]["&amp;$F202&amp;"]"</f>
        <v>[S05_AggregateTotalEmissionsByCRF][13][CRFCategory1]</v>
      </c>
    </row>
    <row r="203" spans="1:15" x14ac:dyDescent="0.3">
      <c r="A203" t="s">
        <v>1793</v>
      </c>
      <c r="B203" t="s">
        <v>1949</v>
      </c>
      <c r="C203" t="s">
        <v>1952</v>
      </c>
      <c r="D203">
        <v>14</v>
      </c>
      <c r="E203" t="s">
        <v>1447</v>
      </c>
      <c r="F203" t="s">
        <v>1953</v>
      </c>
      <c r="G203" t="s">
        <v>1737</v>
      </c>
      <c r="H203" t="s">
        <v>1799</v>
      </c>
      <c r="I203" t="s">
        <v>1799</v>
      </c>
      <c r="J203" t="s">
        <v>1799</v>
      </c>
      <c r="K203" t="s">
        <v>1799</v>
      </c>
      <c r="L203" t="s">
        <v>1642</v>
      </c>
      <c r="M203" t="s">
        <v>1799</v>
      </c>
      <c r="N203" t="s">
        <v>1799</v>
      </c>
      <c r="O203" s="184" t="str">
        <f>"["&amp;$C203&amp;"]["&amp;$D203&amp;"]["&amp;$F203&amp;"]"</f>
        <v>[S05_AggregateTotalEmissionsByCRF][14][CRFCategory1]</v>
      </c>
    </row>
    <row r="204" spans="1:15" x14ac:dyDescent="0.3">
      <c r="A204" t="s">
        <v>1793</v>
      </c>
      <c r="B204" t="s">
        <v>1949</v>
      </c>
      <c r="C204" t="s">
        <v>1952</v>
      </c>
      <c r="D204">
        <v>15</v>
      </c>
      <c r="E204" t="s">
        <v>1447</v>
      </c>
      <c r="F204" t="s">
        <v>1953</v>
      </c>
      <c r="G204" t="s">
        <v>1737</v>
      </c>
      <c r="H204" t="s">
        <v>1799</v>
      </c>
      <c r="I204" t="s">
        <v>1799</v>
      </c>
      <c r="J204" t="s">
        <v>1799</v>
      </c>
      <c r="K204" t="s">
        <v>1799</v>
      </c>
      <c r="L204" t="s">
        <v>1954</v>
      </c>
      <c r="M204" t="s">
        <v>1799</v>
      </c>
      <c r="N204" t="s">
        <v>1799</v>
      </c>
      <c r="O204" s="184" t="str">
        <f>"["&amp;$C204&amp;"]["&amp;$D204&amp;"]["&amp;$F204&amp;"]"</f>
        <v>[S05_AggregateTotalEmissionsByCRF][15][CRFCategory1]</v>
      </c>
    </row>
    <row r="205" spans="1:15" x14ac:dyDescent="0.3">
      <c r="A205" t="s">
        <v>1793</v>
      </c>
      <c r="B205" t="s">
        <v>1949</v>
      </c>
      <c r="C205" t="s">
        <v>1952</v>
      </c>
      <c r="D205">
        <v>16</v>
      </c>
      <c r="E205" t="s">
        <v>1447</v>
      </c>
      <c r="F205" t="s">
        <v>1953</v>
      </c>
      <c r="G205" t="s">
        <v>1737</v>
      </c>
      <c r="H205" t="s">
        <v>1799</v>
      </c>
      <c r="I205" t="s">
        <v>1799</v>
      </c>
      <c r="J205" t="s">
        <v>1799</v>
      </c>
      <c r="K205" t="s">
        <v>1799</v>
      </c>
      <c r="L205" t="s">
        <v>1954</v>
      </c>
      <c r="M205" t="s">
        <v>1799</v>
      </c>
      <c r="N205" t="s">
        <v>1799</v>
      </c>
      <c r="O205" s="184" t="str">
        <f>"["&amp;$C205&amp;"]["&amp;$D205&amp;"]["&amp;$F205&amp;"]"</f>
        <v>[S05_AggregateTotalEmissionsByCRF][16][CRFCategory1]</v>
      </c>
    </row>
    <row r="206" spans="1:15" x14ac:dyDescent="0.3">
      <c r="A206" t="s">
        <v>1793</v>
      </c>
      <c r="B206" t="s">
        <v>1949</v>
      </c>
      <c r="C206" t="s">
        <v>1952</v>
      </c>
      <c r="D206">
        <v>17</v>
      </c>
      <c r="E206" t="s">
        <v>1447</v>
      </c>
      <c r="F206" t="s">
        <v>1953</v>
      </c>
      <c r="G206" t="s">
        <v>1737</v>
      </c>
      <c r="H206" t="s">
        <v>1799</v>
      </c>
      <c r="I206" t="s">
        <v>1799</v>
      </c>
      <c r="J206" t="s">
        <v>1799</v>
      </c>
      <c r="K206" t="s">
        <v>1799</v>
      </c>
      <c r="L206" t="s">
        <v>1954</v>
      </c>
      <c r="M206" t="s">
        <v>1799</v>
      </c>
      <c r="N206" t="s">
        <v>1799</v>
      </c>
      <c r="O206" s="184" t="str">
        <f>"["&amp;$C206&amp;"]["&amp;$D206&amp;"]["&amp;$F206&amp;"]"</f>
        <v>[S05_AggregateTotalEmissionsByCRF][17][CRFCategory1]</v>
      </c>
    </row>
    <row r="207" spans="1:15" x14ac:dyDescent="0.3">
      <c r="A207" t="s">
        <v>1793</v>
      </c>
      <c r="B207" t="s">
        <v>1949</v>
      </c>
      <c r="C207" t="s">
        <v>1952</v>
      </c>
      <c r="D207">
        <v>18</v>
      </c>
      <c r="E207" t="s">
        <v>1447</v>
      </c>
      <c r="F207" t="s">
        <v>1953</v>
      </c>
      <c r="G207" t="s">
        <v>1737</v>
      </c>
      <c r="H207" t="s">
        <v>1799</v>
      </c>
      <c r="I207" t="s">
        <v>1799</v>
      </c>
      <c r="J207" t="s">
        <v>1799</v>
      </c>
      <c r="K207" t="s">
        <v>1799</v>
      </c>
      <c r="L207" t="s">
        <v>1954</v>
      </c>
      <c r="M207" t="s">
        <v>1799</v>
      </c>
      <c r="N207" t="s">
        <v>1799</v>
      </c>
      <c r="O207" s="184" t="str">
        <f>"["&amp;$C207&amp;"]["&amp;$D207&amp;"]["&amp;$F207&amp;"]"</f>
        <v>[S05_AggregateTotalEmissionsByCRF][18][CRFCategory1]</v>
      </c>
    </row>
    <row r="208" spans="1:15" x14ac:dyDescent="0.3">
      <c r="A208" t="s">
        <v>1793</v>
      </c>
      <c r="B208" t="s">
        <v>1949</v>
      </c>
      <c r="C208" t="s">
        <v>1952</v>
      </c>
      <c r="D208">
        <v>19</v>
      </c>
      <c r="E208" t="s">
        <v>1447</v>
      </c>
      <c r="F208" t="s">
        <v>1953</v>
      </c>
      <c r="G208" t="s">
        <v>1737</v>
      </c>
      <c r="H208" t="s">
        <v>1799</v>
      </c>
      <c r="I208" t="s">
        <v>1799</v>
      </c>
      <c r="J208" t="s">
        <v>1799</v>
      </c>
      <c r="K208" t="s">
        <v>1799</v>
      </c>
      <c r="L208" t="s">
        <v>1954</v>
      </c>
      <c r="M208" t="s">
        <v>1799</v>
      </c>
      <c r="N208" t="s">
        <v>1799</v>
      </c>
      <c r="O208" s="184" t="str">
        <f>"["&amp;$C208&amp;"]["&amp;$D208&amp;"]["&amp;$F208&amp;"]"</f>
        <v>[S05_AggregateTotalEmissionsByCRF][19][CRFCategory1]</v>
      </c>
    </row>
    <row r="209" spans="1:15" x14ac:dyDescent="0.3">
      <c r="A209" t="s">
        <v>1793</v>
      </c>
      <c r="B209" t="s">
        <v>1949</v>
      </c>
      <c r="C209" t="s">
        <v>1952</v>
      </c>
      <c r="D209">
        <v>20</v>
      </c>
      <c r="E209" t="s">
        <v>1447</v>
      </c>
      <c r="F209" t="s">
        <v>1953</v>
      </c>
      <c r="G209" t="s">
        <v>1737</v>
      </c>
      <c r="H209" t="s">
        <v>1799</v>
      </c>
      <c r="I209" t="s">
        <v>1799</v>
      </c>
      <c r="J209" t="s">
        <v>1799</v>
      </c>
      <c r="K209" t="s">
        <v>1799</v>
      </c>
      <c r="L209" t="s">
        <v>1954</v>
      </c>
      <c r="M209" t="s">
        <v>1799</v>
      </c>
      <c r="N209" t="s">
        <v>1799</v>
      </c>
      <c r="O209" s="184" t="str">
        <f>"["&amp;$C209&amp;"]["&amp;$D209&amp;"]["&amp;$F209&amp;"]"</f>
        <v>[S05_AggregateTotalEmissionsByCRF][20][CRFCategory1]</v>
      </c>
    </row>
    <row r="210" spans="1:15" x14ac:dyDescent="0.3">
      <c r="A210" t="s">
        <v>1793</v>
      </c>
      <c r="B210" t="s">
        <v>1949</v>
      </c>
      <c r="C210" t="s">
        <v>1952</v>
      </c>
      <c r="D210">
        <v>21</v>
      </c>
      <c r="E210" t="s">
        <v>1447</v>
      </c>
      <c r="F210" t="s">
        <v>1953</v>
      </c>
      <c r="G210" t="s">
        <v>1737</v>
      </c>
      <c r="H210" t="s">
        <v>1799</v>
      </c>
      <c r="I210" t="s">
        <v>1799</v>
      </c>
      <c r="J210" t="s">
        <v>1799</v>
      </c>
      <c r="K210" t="s">
        <v>1799</v>
      </c>
      <c r="L210" t="s">
        <v>1954</v>
      </c>
      <c r="M210" t="s">
        <v>1799</v>
      </c>
      <c r="N210" t="s">
        <v>1799</v>
      </c>
      <c r="O210" s="184" t="str">
        <f>"["&amp;$C210&amp;"]["&amp;$D210&amp;"]["&amp;$F210&amp;"]"</f>
        <v>[S05_AggregateTotalEmissionsByCRF][21][CRFCategory1]</v>
      </c>
    </row>
    <row r="211" spans="1:15" x14ac:dyDescent="0.3">
      <c r="A211" t="s">
        <v>1793</v>
      </c>
      <c r="B211" t="s">
        <v>1949</v>
      </c>
      <c r="C211" t="s">
        <v>1952</v>
      </c>
      <c r="D211">
        <v>22</v>
      </c>
      <c r="E211" t="s">
        <v>1447</v>
      </c>
      <c r="F211" t="s">
        <v>1953</v>
      </c>
      <c r="G211" t="s">
        <v>1737</v>
      </c>
      <c r="H211" t="s">
        <v>1799</v>
      </c>
      <c r="I211" t="s">
        <v>1799</v>
      </c>
      <c r="J211" t="s">
        <v>1799</v>
      </c>
      <c r="K211" t="s">
        <v>1799</v>
      </c>
      <c r="L211" t="s">
        <v>1954</v>
      </c>
      <c r="M211" t="s">
        <v>1799</v>
      </c>
      <c r="N211" t="s">
        <v>1799</v>
      </c>
      <c r="O211" s="184" t="str">
        <f>"["&amp;$C211&amp;"]["&amp;$D211&amp;"]["&amp;$F211&amp;"]"</f>
        <v>[S05_AggregateTotalEmissionsByCRF][22][CRFCategory1]</v>
      </c>
    </row>
    <row r="212" spans="1:15" x14ac:dyDescent="0.3">
      <c r="A212" t="s">
        <v>1793</v>
      </c>
      <c r="B212" t="s">
        <v>1949</v>
      </c>
      <c r="C212" t="s">
        <v>1952</v>
      </c>
      <c r="D212">
        <v>23</v>
      </c>
      <c r="E212" t="s">
        <v>1447</v>
      </c>
      <c r="F212" t="s">
        <v>1953</v>
      </c>
      <c r="G212" t="s">
        <v>1737</v>
      </c>
      <c r="H212" t="s">
        <v>1799</v>
      </c>
      <c r="I212" t="s">
        <v>1799</v>
      </c>
      <c r="J212" t="s">
        <v>1799</v>
      </c>
      <c r="K212" t="s">
        <v>1799</v>
      </c>
      <c r="L212" t="s">
        <v>1954</v>
      </c>
      <c r="M212" t="s">
        <v>1799</v>
      </c>
      <c r="N212" t="s">
        <v>1799</v>
      </c>
      <c r="O212" s="184" t="str">
        <f>"["&amp;$C212&amp;"]["&amp;$D212&amp;"]["&amp;$F212&amp;"]"</f>
        <v>[S05_AggregateTotalEmissionsByCRF][23][CRFCategory1]</v>
      </c>
    </row>
    <row r="213" spans="1:15" x14ac:dyDescent="0.3">
      <c r="A213" t="s">
        <v>1793</v>
      </c>
      <c r="B213" t="s">
        <v>1949</v>
      </c>
      <c r="C213" t="s">
        <v>1952</v>
      </c>
      <c r="D213">
        <v>24</v>
      </c>
      <c r="E213" t="s">
        <v>1447</v>
      </c>
      <c r="F213" t="s">
        <v>1953</v>
      </c>
      <c r="G213" t="s">
        <v>1737</v>
      </c>
      <c r="H213" t="s">
        <v>1799</v>
      </c>
      <c r="I213" t="s">
        <v>1799</v>
      </c>
      <c r="J213" t="s">
        <v>1799</v>
      </c>
      <c r="K213" t="s">
        <v>1799</v>
      </c>
      <c r="L213" t="s">
        <v>1954</v>
      </c>
      <c r="M213" t="s">
        <v>1799</v>
      </c>
      <c r="N213" t="s">
        <v>1799</v>
      </c>
      <c r="O213" s="184" t="str">
        <f>"["&amp;$C213&amp;"]["&amp;$D213&amp;"]["&amp;$F213&amp;"]"</f>
        <v>[S05_AggregateTotalEmissionsByCRF][24][CRFCategory1]</v>
      </c>
    </row>
    <row r="214" spans="1:15" x14ac:dyDescent="0.3">
      <c r="A214" t="s">
        <v>1793</v>
      </c>
      <c r="B214" t="s">
        <v>1949</v>
      </c>
      <c r="C214" t="s">
        <v>1952</v>
      </c>
      <c r="D214">
        <v>25</v>
      </c>
      <c r="E214" t="s">
        <v>1447</v>
      </c>
      <c r="F214" t="s">
        <v>1953</v>
      </c>
      <c r="G214" t="s">
        <v>1737</v>
      </c>
      <c r="H214" t="s">
        <v>1799</v>
      </c>
      <c r="I214" t="s">
        <v>1799</v>
      </c>
      <c r="J214" t="s">
        <v>1799</v>
      </c>
      <c r="K214" t="s">
        <v>1799</v>
      </c>
      <c r="L214" t="s">
        <v>1954</v>
      </c>
      <c r="M214" t="s">
        <v>1799</v>
      </c>
      <c r="N214" t="s">
        <v>1799</v>
      </c>
      <c r="O214" s="184" t="str">
        <f>"["&amp;$C214&amp;"]["&amp;$D214&amp;"]["&amp;$F214&amp;"]"</f>
        <v>[S05_AggregateTotalEmissionsByCRF][25][CRFCategory1]</v>
      </c>
    </row>
    <row r="215" spans="1:15" x14ac:dyDescent="0.3">
      <c r="A215" t="s">
        <v>1793</v>
      </c>
      <c r="B215" t="s">
        <v>1949</v>
      </c>
      <c r="C215" t="s">
        <v>1952</v>
      </c>
      <c r="D215">
        <v>26</v>
      </c>
      <c r="E215" t="s">
        <v>1447</v>
      </c>
      <c r="F215" t="s">
        <v>1953</v>
      </c>
      <c r="G215" t="s">
        <v>1737</v>
      </c>
      <c r="H215" t="s">
        <v>1799</v>
      </c>
      <c r="I215" t="s">
        <v>1799</v>
      </c>
      <c r="J215" t="s">
        <v>1799</v>
      </c>
      <c r="K215" t="s">
        <v>1799</v>
      </c>
      <c r="L215" t="s">
        <v>1954</v>
      </c>
      <c r="M215" t="s">
        <v>1799</v>
      </c>
      <c r="N215" t="s">
        <v>1799</v>
      </c>
      <c r="O215" s="184" t="str">
        <f>"["&amp;$C215&amp;"]["&amp;$D215&amp;"]["&amp;$F215&amp;"]"</f>
        <v>[S05_AggregateTotalEmissionsByCRF][26][CRFCategory1]</v>
      </c>
    </row>
    <row r="216" spans="1:15" x14ac:dyDescent="0.3">
      <c r="A216" t="s">
        <v>1793</v>
      </c>
      <c r="B216" t="s">
        <v>1949</v>
      </c>
      <c r="C216" t="s">
        <v>1952</v>
      </c>
      <c r="D216">
        <v>27</v>
      </c>
      <c r="E216" t="s">
        <v>1447</v>
      </c>
      <c r="F216" t="s">
        <v>1953</v>
      </c>
      <c r="G216" t="s">
        <v>1737</v>
      </c>
      <c r="H216" t="s">
        <v>1799</v>
      </c>
      <c r="I216" t="s">
        <v>1799</v>
      </c>
      <c r="J216" t="s">
        <v>1799</v>
      </c>
      <c r="K216" t="s">
        <v>1799</v>
      </c>
      <c r="L216" t="s">
        <v>1954</v>
      </c>
      <c r="M216" t="s">
        <v>1799</v>
      </c>
      <c r="N216" t="s">
        <v>1799</v>
      </c>
      <c r="O216" s="184" t="str">
        <f>"["&amp;$C216&amp;"]["&amp;$D216&amp;"]["&amp;$F216&amp;"]"</f>
        <v>[S05_AggregateTotalEmissionsByCRF][27][CRFCategory1]</v>
      </c>
    </row>
    <row r="217" spans="1:15" x14ac:dyDescent="0.3">
      <c r="A217" t="s">
        <v>1793</v>
      </c>
      <c r="B217" t="s">
        <v>1949</v>
      </c>
      <c r="C217" t="s">
        <v>1952</v>
      </c>
      <c r="D217">
        <v>28</v>
      </c>
      <c r="E217" t="s">
        <v>1447</v>
      </c>
      <c r="F217" t="s">
        <v>1953</v>
      </c>
      <c r="G217" t="s">
        <v>1737</v>
      </c>
      <c r="H217" t="s">
        <v>1799</v>
      </c>
      <c r="I217" t="s">
        <v>1799</v>
      </c>
      <c r="J217" t="s">
        <v>1799</v>
      </c>
      <c r="K217" t="s">
        <v>1799</v>
      </c>
      <c r="L217" t="s">
        <v>1954</v>
      </c>
      <c r="M217" t="s">
        <v>1799</v>
      </c>
      <c r="N217" t="s">
        <v>1799</v>
      </c>
      <c r="O217" s="184" t="str">
        <f>"["&amp;$C217&amp;"]["&amp;$D217&amp;"]["&amp;$F217&amp;"]"</f>
        <v>[S05_AggregateTotalEmissionsByCRF][28][CRFCategory1]</v>
      </c>
    </row>
    <row r="218" spans="1:15" x14ac:dyDescent="0.3">
      <c r="A218" t="s">
        <v>1793</v>
      </c>
      <c r="B218" t="s">
        <v>1949</v>
      </c>
      <c r="C218" t="s">
        <v>1952</v>
      </c>
      <c r="D218">
        <v>29</v>
      </c>
      <c r="E218" t="s">
        <v>1447</v>
      </c>
      <c r="F218" t="s">
        <v>1953</v>
      </c>
      <c r="G218" t="s">
        <v>1737</v>
      </c>
      <c r="H218" t="s">
        <v>1799</v>
      </c>
      <c r="I218" t="s">
        <v>1799</v>
      </c>
      <c r="J218" t="s">
        <v>1799</v>
      </c>
      <c r="K218" t="s">
        <v>1799</v>
      </c>
      <c r="L218" t="s">
        <v>1954</v>
      </c>
      <c r="M218" t="s">
        <v>1799</v>
      </c>
      <c r="N218" t="s">
        <v>1799</v>
      </c>
      <c r="O218" s="184" t="str">
        <f>"["&amp;$C218&amp;"]["&amp;$D218&amp;"]["&amp;$F218&amp;"]"</f>
        <v>[S05_AggregateTotalEmissionsByCRF][29][CRFCategory1]</v>
      </c>
    </row>
    <row r="219" spans="1:15" x14ac:dyDescent="0.3">
      <c r="A219" t="s">
        <v>1793</v>
      </c>
      <c r="B219" t="s">
        <v>1949</v>
      </c>
      <c r="C219" t="s">
        <v>1952</v>
      </c>
      <c r="D219">
        <v>30</v>
      </c>
      <c r="E219" t="s">
        <v>1447</v>
      </c>
      <c r="F219" t="s">
        <v>1953</v>
      </c>
      <c r="G219" t="s">
        <v>1737</v>
      </c>
      <c r="H219" t="s">
        <v>1799</v>
      </c>
      <c r="I219" t="s">
        <v>1799</v>
      </c>
      <c r="J219" t="s">
        <v>1799</v>
      </c>
      <c r="K219" t="s">
        <v>1799</v>
      </c>
      <c r="L219" t="s">
        <v>1954</v>
      </c>
      <c r="M219" t="s">
        <v>1799</v>
      </c>
      <c r="N219" t="s">
        <v>1799</v>
      </c>
      <c r="O219" s="184" t="str">
        <f>"["&amp;$C219&amp;"]["&amp;$D219&amp;"]["&amp;$F219&amp;"]"</f>
        <v>[S05_AggregateTotalEmissionsByCRF][30][CRFCategory1]</v>
      </c>
    </row>
    <row r="220" spans="1:15" x14ac:dyDescent="0.3">
      <c r="A220" t="s">
        <v>1793</v>
      </c>
      <c r="B220" t="s">
        <v>1949</v>
      </c>
      <c r="C220" t="s">
        <v>1952</v>
      </c>
      <c r="D220">
        <v>31</v>
      </c>
      <c r="E220" t="s">
        <v>1447</v>
      </c>
      <c r="F220" t="s">
        <v>1953</v>
      </c>
      <c r="G220" t="s">
        <v>1737</v>
      </c>
      <c r="H220" t="s">
        <v>1799</v>
      </c>
      <c r="I220" t="s">
        <v>1799</v>
      </c>
      <c r="J220" t="s">
        <v>1799</v>
      </c>
      <c r="K220" t="s">
        <v>1799</v>
      </c>
      <c r="L220" t="s">
        <v>1954</v>
      </c>
      <c r="M220" t="s">
        <v>1799</v>
      </c>
      <c r="N220" t="s">
        <v>1799</v>
      </c>
      <c r="O220" s="184" t="str">
        <f>"["&amp;$C220&amp;"]["&amp;$D220&amp;"]["&amp;$F220&amp;"]"</f>
        <v>[S05_AggregateTotalEmissionsByCRF][31][CRFCategory1]</v>
      </c>
    </row>
    <row r="221" spans="1:15" x14ac:dyDescent="0.3">
      <c r="A221" t="s">
        <v>1793</v>
      </c>
      <c r="B221" t="s">
        <v>1949</v>
      </c>
      <c r="C221" t="s">
        <v>1952</v>
      </c>
      <c r="D221">
        <v>15</v>
      </c>
      <c r="E221" t="s">
        <v>1447</v>
      </c>
      <c r="F221" t="s">
        <v>1955</v>
      </c>
      <c r="G221" t="s">
        <v>1737</v>
      </c>
      <c r="H221" t="s">
        <v>1799</v>
      </c>
      <c r="I221" t="s">
        <v>1799</v>
      </c>
      <c r="J221" t="s">
        <v>1799</v>
      </c>
      <c r="K221" t="s">
        <v>1799</v>
      </c>
      <c r="L221" t="s">
        <v>1426</v>
      </c>
      <c r="M221" t="s">
        <v>1799</v>
      </c>
      <c r="N221" t="s">
        <v>1799</v>
      </c>
      <c r="O221" s="184" t="str">
        <f>"["&amp;$C221&amp;"]["&amp;$D221&amp;"]["&amp;$F221&amp;"]"</f>
        <v>[S05_AggregateTotalEmissionsByCRF][15][CRFCategory2]</v>
      </c>
    </row>
    <row r="222" spans="1:15" x14ac:dyDescent="0.3">
      <c r="A222" t="s">
        <v>1793</v>
      </c>
      <c r="B222" t="s">
        <v>1949</v>
      </c>
      <c r="C222" t="s">
        <v>1952</v>
      </c>
      <c r="D222">
        <v>16</v>
      </c>
      <c r="E222" t="s">
        <v>1447</v>
      </c>
      <c r="F222" t="s">
        <v>1955</v>
      </c>
      <c r="G222" t="s">
        <v>1737</v>
      </c>
      <c r="H222" t="s">
        <v>1799</v>
      </c>
      <c r="I222" t="s">
        <v>1799</v>
      </c>
      <c r="J222" t="s">
        <v>1799</v>
      </c>
      <c r="K222" t="s">
        <v>1799</v>
      </c>
      <c r="L222" t="s">
        <v>1454</v>
      </c>
      <c r="M222" t="s">
        <v>1799</v>
      </c>
      <c r="N222" t="s">
        <v>1799</v>
      </c>
      <c r="O222" s="184" t="str">
        <f>"["&amp;$C222&amp;"]["&amp;$D222&amp;"]["&amp;$F222&amp;"]"</f>
        <v>[S05_AggregateTotalEmissionsByCRF][16][CRFCategory2]</v>
      </c>
    </row>
    <row r="223" spans="1:15" x14ac:dyDescent="0.3">
      <c r="A223" t="s">
        <v>1793</v>
      </c>
      <c r="B223" t="s">
        <v>1949</v>
      </c>
      <c r="C223" t="s">
        <v>1952</v>
      </c>
      <c r="D223">
        <v>17</v>
      </c>
      <c r="E223" t="s">
        <v>1447</v>
      </c>
      <c r="F223" t="s">
        <v>1955</v>
      </c>
      <c r="G223" t="s">
        <v>1737</v>
      </c>
      <c r="H223" t="s">
        <v>1799</v>
      </c>
      <c r="I223" t="s">
        <v>1799</v>
      </c>
      <c r="J223" t="s">
        <v>1799</v>
      </c>
      <c r="K223" t="s">
        <v>1799</v>
      </c>
      <c r="L223" t="s">
        <v>1482</v>
      </c>
      <c r="M223" t="s">
        <v>1799</v>
      </c>
      <c r="N223" t="s">
        <v>1799</v>
      </c>
      <c r="O223" s="184" t="str">
        <f>"["&amp;$C223&amp;"]["&amp;$D223&amp;"]["&amp;$F223&amp;"]"</f>
        <v>[S05_AggregateTotalEmissionsByCRF][17][CRFCategory2]</v>
      </c>
    </row>
    <row r="224" spans="1:15" x14ac:dyDescent="0.3">
      <c r="A224" t="s">
        <v>1793</v>
      </c>
      <c r="B224" t="s">
        <v>1949</v>
      </c>
      <c r="C224" t="s">
        <v>1952</v>
      </c>
      <c r="D224">
        <v>18</v>
      </c>
      <c r="E224" t="s">
        <v>1447</v>
      </c>
      <c r="F224" t="s">
        <v>1955</v>
      </c>
      <c r="G224" t="s">
        <v>1737</v>
      </c>
      <c r="H224" t="s">
        <v>1799</v>
      </c>
      <c r="I224" t="s">
        <v>1799</v>
      </c>
      <c r="J224" t="s">
        <v>1799</v>
      </c>
      <c r="K224" t="s">
        <v>1799</v>
      </c>
      <c r="L224" t="s">
        <v>1504</v>
      </c>
      <c r="M224" t="s">
        <v>1799</v>
      </c>
      <c r="N224" t="s">
        <v>1799</v>
      </c>
      <c r="O224" s="184" t="str">
        <f>"["&amp;$C224&amp;"]["&amp;$D224&amp;"]["&amp;$F224&amp;"]"</f>
        <v>[S05_AggregateTotalEmissionsByCRF][18][CRFCategory2]</v>
      </c>
    </row>
    <row r="225" spans="1:15" x14ac:dyDescent="0.3">
      <c r="A225" t="s">
        <v>1793</v>
      </c>
      <c r="B225" t="s">
        <v>1949</v>
      </c>
      <c r="C225" t="s">
        <v>1952</v>
      </c>
      <c r="D225">
        <v>19</v>
      </c>
      <c r="E225" t="s">
        <v>1447</v>
      </c>
      <c r="F225" t="s">
        <v>1955</v>
      </c>
      <c r="G225" t="s">
        <v>1737</v>
      </c>
      <c r="H225" t="s">
        <v>1799</v>
      </c>
      <c r="I225" t="s">
        <v>1799</v>
      </c>
      <c r="J225" t="s">
        <v>1799</v>
      </c>
      <c r="K225" t="s">
        <v>1799</v>
      </c>
      <c r="L225" t="s">
        <v>1520</v>
      </c>
      <c r="M225" t="s">
        <v>1799</v>
      </c>
      <c r="N225" t="s">
        <v>1799</v>
      </c>
      <c r="O225" s="184" t="str">
        <f>"["&amp;$C225&amp;"]["&amp;$D225&amp;"]["&amp;$F225&amp;"]"</f>
        <v>[S05_AggregateTotalEmissionsByCRF][19][CRFCategory2]</v>
      </c>
    </row>
    <row r="226" spans="1:15" x14ac:dyDescent="0.3">
      <c r="A226" t="s">
        <v>1793</v>
      </c>
      <c r="B226" t="s">
        <v>1949</v>
      </c>
      <c r="C226" t="s">
        <v>1952</v>
      </c>
      <c r="D226">
        <v>20</v>
      </c>
      <c r="E226" t="s">
        <v>1447</v>
      </c>
      <c r="F226" t="s">
        <v>1955</v>
      </c>
      <c r="G226" t="s">
        <v>1737</v>
      </c>
      <c r="H226" t="s">
        <v>1799</v>
      </c>
      <c r="I226" t="s">
        <v>1799</v>
      </c>
      <c r="J226" t="s">
        <v>1799</v>
      </c>
      <c r="K226" t="s">
        <v>1799</v>
      </c>
      <c r="L226" t="s">
        <v>1532</v>
      </c>
      <c r="M226" t="s">
        <v>1799</v>
      </c>
      <c r="N226" t="s">
        <v>1799</v>
      </c>
      <c r="O226" s="184" t="str">
        <f>"["&amp;$C226&amp;"]["&amp;$D226&amp;"]["&amp;$F226&amp;"]"</f>
        <v>[S05_AggregateTotalEmissionsByCRF][20][CRFCategory2]</v>
      </c>
    </row>
    <row r="227" spans="1:15" x14ac:dyDescent="0.3">
      <c r="A227" t="s">
        <v>1793</v>
      </c>
      <c r="B227" t="s">
        <v>1949</v>
      </c>
      <c r="C227" t="s">
        <v>1952</v>
      </c>
      <c r="D227">
        <v>21</v>
      </c>
      <c r="E227" t="s">
        <v>1447</v>
      </c>
      <c r="F227" t="s">
        <v>1955</v>
      </c>
      <c r="G227" t="s">
        <v>1737</v>
      </c>
      <c r="H227" t="s">
        <v>1799</v>
      </c>
      <c r="I227" t="s">
        <v>1799</v>
      </c>
      <c r="J227" t="s">
        <v>1799</v>
      </c>
      <c r="K227" t="s">
        <v>1799</v>
      </c>
      <c r="L227" t="s">
        <v>1542</v>
      </c>
      <c r="M227" t="s">
        <v>1799</v>
      </c>
      <c r="N227" t="s">
        <v>1799</v>
      </c>
      <c r="O227" s="184" t="str">
        <f>"["&amp;$C227&amp;"]["&amp;$D227&amp;"]["&amp;$F227&amp;"]"</f>
        <v>[S05_AggregateTotalEmissionsByCRF][21][CRFCategory2]</v>
      </c>
    </row>
    <row r="228" spans="1:15" x14ac:dyDescent="0.3">
      <c r="A228" t="s">
        <v>1793</v>
      </c>
      <c r="B228" t="s">
        <v>1949</v>
      </c>
      <c r="C228" t="s">
        <v>1952</v>
      </c>
      <c r="D228">
        <v>22</v>
      </c>
      <c r="E228" t="s">
        <v>1447</v>
      </c>
      <c r="F228" t="s">
        <v>1955</v>
      </c>
      <c r="G228" t="s">
        <v>1737</v>
      </c>
      <c r="H228" t="s">
        <v>1799</v>
      </c>
      <c r="I228" t="s">
        <v>1799</v>
      </c>
      <c r="J228" t="s">
        <v>1799</v>
      </c>
      <c r="K228" t="s">
        <v>1799</v>
      </c>
      <c r="L228" t="s">
        <v>1551</v>
      </c>
      <c r="M228" t="s">
        <v>1799</v>
      </c>
      <c r="N228" t="s">
        <v>1799</v>
      </c>
      <c r="O228" s="184" t="str">
        <f>"["&amp;$C228&amp;"]["&amp;$D228&amp;"]["&amp;$F228&amp;"]"</f>
        <v>[S05_AggregateTotalEmissionsByCRF][22][CRFCategory2]</v>
      </c>
    </row>
    <row r="229" spans="1:15" x14ac:dyDescent="0.3">
      <c r="A229" t="s">
        <v>1793</v>
      </c>
      <c r="B229" t="s">
        <v>1949</v>
      </c>
      <c r="C229" t="s">
        <v>1952</v>
      </c>
      <c r="D229">
        <v>23</v>
      </c>
      <c r="E229" t="s">
        <v>1447</v>
      </c>
      <c r="F229" t="s">
        <v>1955</v>
      </c>
      <c r="G229" t="s">
        <v>1737</v>
      </c>
      <c r="H229" t="s">
        <v>1799</v>
      </c>
      <c r="I229" t="s">
        <v>1799</v>
      </c>
      <c r="J229" t="s">
        <v>1799</v>
      </c>
      <c r="K229" t="s">
        <v>1799</v>
      </c>
      <c r="L229" t="s">
        <v>1570</v>
      </c>
      <c r="M229" t="s">
        <v>1799</v>
      </c>
      <c r="N229" t="s">
        <v>1799</v>
      </c>
      <c r="O229" s="184" t="str">
        <f>"["&amp;$C229&amp;"]["&amp;$D229&amp;"]["&amp;$F229&amp;"]"</f>
        <v>[S05_AggregateTotalEmissionsByCRF][23][CRFCategory2]</v>
      </c>
    </row>
    <row r="230" spans="1:15" x14ac:dyDescent="0.3">
      <c r="A230" t="s">
        <v>1793</v>
      </c>
      <c r="B230" t="s">
        <v>1949</v>
      </c>
      <c r="C230" t="s">
        <v>1952</v>
      </c>
      <c r="D230">
        <v>24</v>
      </c>
      <c r="E230" t="s">
        <v>1447</v>
      </c>
      <c r="F230" t="s">
        <v>1955</v>
      </c>
      <c r="G230" t="s">
        <v>1737</v>
      </c>
      <c r="H230" t="s">
        <v>1799</v>
      </c>
      <c r="I230" t="s">
        <v>1799</v>
      </c>
      <c r="J230" t="s">
        <v>1799</v>
      </c>
      <c r="K230" t="s">
        <v>1799</v>
      </c>
      <c r="L230" t="s">
        <v>1575</v>
      </c>
      <c r="M230" t="s">
        <v>1799</v>
      </c>
      <c r="N230" t="s">
        <v>1799</v>
      </c>
      <c r="O230" s="184" t="str">
        <f>"["&amp;$C230&amp;"]["&amp;$D230&amp;"]["&amp;$F230&amp;"]"</f>
        <v>[S05_AggregateTotalEmissionsByCRF][24][CRFCategory2]</v>
      </c>
    </row>
    <row r="231" spans="1:15" x14ac:dyDescent="0.3">
      <c r="A231" t="s">
        <v>1793</v>
      </c>
      <c r="B231" t="s">
        <v>1949</v>
      </c>
      <c r="C231" t="s">
        <v>1952</v>
      </c>
      <c r="D231">
        <v>25</v>
      </c>
      <c r="E231" t="s">
        <v>1447</v>
      </c>
      <c r="F231" t="s">
        <v>1955</v>
      </c>
      <c r="G231" t="s">
        <v>1737</v>
      </c>
      <c r="H231" t="s">
        <v>1799</v>
      </c>
      <c r="I231" t="s">
        <v>1799</v>
      </c>
      <c r="J231" t="s">
        <v>1799</v>
      </c>
      <c r="K231" t="s">
        <v>1799</v>
      </c>
      <c r="L231" t="s">
        <v>1579</v>
      </c>
      <c r="M231" t="s">
        <v>1799</v>
      </c>
      <c r="N231" t="s">
        <v>1799</v>
      </c>
      <c r="O231" s="184" t="str">
        <f>"["&amp;$C231&amp;"]["&amp;$D231&amp;"]["&amp;$F231&amp;"]"</f>
        <v>[S05_AggregateTotalEmissionsByCRF][25][CRFCategory2]</v>
      </c>
    </row>
    <row r="232" spans="1:15" x14ac:dyDescent="0.3">
      <c r="A232" t="s">
        <v>1793</v>
      </c>
      <c r="B232" t="s">
        <v>1949</v>
      </c>
      <c r="C232" t="s">
        <v>1952</v>
      </c>
      <c r="D232">
        <v>26</v>
      </c>
      <c r="E232" t="s">
        <v>1447</v>
      </c>
      <c r="F232" t="s">
        <v>1955</v>
      </c>
      <c r="G232" t="s">
        <v>1737</v>
      </c>
      <c r="H232" t="s">
        <v>1799</v>
      </c>
      <c r="I232" t="s">
        <v>1799</v>
      </c>
      <c r="J232" t="s">
        <v>1799</v>
      </c>
      <c r="K232" t="s">
        <v>1799</v>
      </c>
      <c r="L232" t="s">
        <v>1589</v>
      </c>
      <c r="M232" t="s">
        <v>1799</v>
      </c>
      <c r="N232" t="s">
        <v>1799</v>
      </c>
      <c r="O232" s="184" t="str">
        <f>"["&amp;$C232&amp;"]["&amp;$D232&amp;"]["&amp;$F232&amp;"]"</f>
        <v>[S05_AggregateTotalEmissionsByCRF][26][CRFCategory2]</v>
      </c>
    </row>
    <row r="233" spans="1:15" x14ac:dyDescent="0.3">
      <c r="A233" t="s">
        <v>1793</v>
      </c>
      <c r="B233" t="s">
        <v>1949</v>
      </c>
      <c r="C233" t="s">
        <v>1952</v>
      </c>
      <c r="D233">
        <v>27</v>
      </c>
      <c r="E233" t="s">
        <v>1447</v>
      </c>
      <c r="F233" t="s">
        <v>1955</v>
      </c>
      <c r="G233" t="s">
        <v>1737</v>
      </c>
      <c r="H233" t="s">
        <v>1799</v>
      </c>
      <c r="I233" t="s">
        <v>1799</v>
      </c>
      <c r="J233" t="s">
        <v>1799</v>
      </c>
      <c r="K233" t="s">
        <v>1799</v>
      </c>
      <c r="L233" t="s">
        <v>1599</v>
      </c>
      <c r="M233" t="s">
        <v>1799</v>
      </c>
      <c r="N233" t="s">
        <v>1799</v>
      </c>
      <c r="O233" s="184" t="str">
        <f>"["&amp;$C233&amp;"]["&amp;$D233&amp;"]["&amp;$F233&amp;"]"</f>
        <v>[S05_AggregateTotalEmissionsByCRF][27][CRFCategory2]</v>
      </c>
    </row>
    <row r="234" spans="1:15" x14ac:dyDescent="0.3">
      <c r="A234" t="s">
        <v>1793</v>
      </c>
      <c r="B234" t="s">
        <v>1949</v>
      </c>
      <c r="C234" t="s">
        <v>1952</v>
      </c>
      <c r="D234">
        <v>28</v>
      </c>
      <c r="E234" t="s">
        <v>1447</v>
      </c>
      <c r="F234" t="s">
        <v>1955</v>
      </c>
      <c r="G234" t="s">
        <v>1737</v>
      </c>
      <c r="H234" t="s">
        <v>1799</v>
      </c>
      <c r="I234" t="s">
        <v>1799</v>
      </c>
      <c r="J234" t="s">
        <v>1799</v>
      </c>
      <c r="K234" t="s">
        <v>1799</v>
      </c>
      <c r="L234" t="s">
        <v>1604</v>
      </c>
      <c r="M234" t="s">
        <v>1799</v>
      </c>
      <c r="N234" t="s">
        <v>1799</v>
      </c>
      <c r="O234" s="184" t="str">
        <f>"["&amp;$C234&amp;"]["&amp;$D234&amp;"]["&amp;$F234&amp;"]"</f>
        <v>[S05_AggregateTotalEmissionsByCRF][28][CRFCategory2]</v>
      </c>
    </row>
    <row r="235" spans="1:15" x14ac:dyDescent="0.3">
      <c r="A235" t="s">
        <v>1793</v>
      </c>
      <c r="B235" t="s">
        <v>1949</v>
      </c>
      <c r="C235" t="s">
        <v>1952</v>
      </c>
      <c r="D235">
        <v>29</v>
      </c>
      <c r="E235" t="s">
        <v>1447</v>
      </c>
      <c r="F235" t="s">
        <v>1955</v>
      </c>
      <c r="G235" t="s">
        <v>1737</v>
      </c>
      <c r="H235" t="s">
        <v>1799</v>
      </c>
      <c r="I235" t="s">
        <v>1799</v>
      </c>
      <c r="J235" t="s">
        <v>1799</v>
      </c>
      <c r="K235" t="s">
        <v>1799</v>
      </c>
      <c r="L235" t="s">
        <v>1609</v>
      </c>
      <c r="M235" t="s">
        <v>1799</v>
      </c>
      <c r="N235" t="s">
        <v>1799</v>
      </c>
      <c r="O235" s="184" t="str">
        <f>"["&amp;$C235&amp;"]["&amp;$D235&amp;"]["&amp;$F235&amp;"]"</f>
        <v>[S05_AggregateTotalEmissionsByCRF][29][CRFCategory2]</v>
      </c>
    </row>
    <row r="236" spans="1:15" x14ac:dyDescent="0.3">
      <c r="A236" t="s">
        <v>1793</v>
      </c>
      <c r="B236" t="s">
        <v>1949</v>
      </c>
      <c r="C236" t="s">
        <v>1952</v>
      </c>
      <c r="D236">
        <v>30</v>
      </c>
      <c r="E236" t="s">
        <v>1447</v>
      </c>
      <c r="F236" t="s">
        <v>1955</v>
      </c>
      <c r="G236" t="s">
        <v>1737</v>
      </c>
      <c r="H236" t="s">
        <v>1799</v>
      </c>
      <c r="I236" t="s">
        <v>1799</v>
      </c>
      <c r="J236" t="s">
        <v>1799</v>
      </c>
      <c r="K236" t="s">
        <v>1799</v>
      </c>
      <c r="L236" t="s">
        <v>1614</v>
      </c>
      <c r="M236" t="s">
        <v>1799</v>
      </c>
      <c r="N236" t="s">
        <v>1799</v>
      </c>
      <c r="O236" s="184" t="str">
        <f>"["&amp;$C236&amp;"]["&amp;$D236&amp;"]["&amp;$F236&amp;"]"</f>
        <v>[S05_AggregateTotalEmissionsByCRF][30][CRFCategory2]</v>
      </c>
    </row>
    <row r="237" spans="1:15" x14ac:dyDescent="0.3">
      <c r="A237" t="s">
        <v>1793</v>
      </c>
      <c r="B237" t="s">
        <v>1949</v>
      </c>
      <c r="C237" t="s">
        <v>1952</v>
      </c>
      <c r="D237">
        <v>31</v>
      </c>
      <c r="E237" t="s">
        <v>1447</v>
      </c>
      <c r="F237" t="s">
        <v>1955</v>
      </c>
      <c r="G237" t="s">
        <v>1737</v>
      </c>
      <c r="H237" t="s">
        <v>1799</v>
      </c>
      <c r="I237" t="s">
        <v>1799</v>
      </c>
      <c r="J237" t="s">
        <v>1799</v>
      </c>
      <c r="K237" t="s">
        <v>1799</v>
      </c>
      <c r="L237" t="s">
        <v>1619</v>
      </c>
      <c r="M237" t="s">
        <v>1799</v>
      </c>
      <c r="N237" t="s">
        <v>1799</v>
      </c>
      <c r="O237" s="184" t="str">
        <f>"["&amp;$C237&amp;"]["&amp;$D237&amp;"]["&amp;$F237&amp;"]"</f>
        <v>[S05_AggregateTotalEmissionsByCRF][31][CRFCategory2]</v>
      </c>
    </row>
    <row r="238" spans="1:15" x14ac:dyDescent="0.3">
      <c r="A238" t="s">
        <v>1793</v>
      </c>
      <c r="B238" t="s">
        <v>1949</v>
      </c>
      <c r="C238" t="s">
        <v>1952</v>
      </c>
      <c r="D238">
        <v>1</v>
      </c>
      <c r="E238" t="s">
        <v>1447</v>
      </c>
      <c r="F238" t="s">
        <v>1956</v>
      </c>
      <c r="G238" t="s">
        <v>1892</v>
      </c>
      <c r="H238" t="s">
        <v>1799</v>
      </c>
      <c r="I238" t="s">
        <v>1799</v>
      </c>
      <c r="J238">
        <v>184856804.25099999</v>
      </c>
      <c r="K238" t="s">
        <v>1799</v>
      </c>
      <c r="L238" t="s">
        <v>1799</v>
      </c>
      <c r="M238" t="s">
        <v>1799</v>
      </c>
      <c r="N238" t="s">
        <v>1799</v>
      </c>
      <c r="O238" s="184" t="str">
        <f>"["&amp;$C238&amp;"]["&amp;$D238&amp;"]["&amp;$F238&amp;"]"</f>
        <v>[S05_AggregateTotalEmissionsByCRF][1][TotalEmissionsTCo2e]</v>
      </c>
    </row>
    <row r="239" spans="1:15" x14ac:dyDescent="0.3">
      <c r="A239" t="s">
        <v>1793</v>
      </c>
      <c r="B239" t="s">
        <v>1949</v>
      </c>
      <c r="C239" t="s">
        <v>1952</v>
      </c>
      <c r="D239">
        <v>2</v>
      </c>
      <c r="E239" t="s">
        <v>1447</v>
      </c>
      <c r="F239" t="s">
        <v>1956</v>
      </c>
      <c r="G239" t="s">
        <v>1892</v>
      </c>
      <c r="H239" t="s">
        <v>1799</v>
      </c>
      <c r="I239" t="s">
        <v>1799</v>
      </c>
      <c r="J239">
        <v>20662164.802000001</v>
      </c>
      <c r="K239" t="s">
        <v>1799</v>
      </c>
      <c r="L239" t="s">
        <v>1799</v>
      </c>
      <c r="M239" t="s">
        <v>1799</v>
      </c>
      <c r="N239" t="s">
        <v>1799</v>
      </c>
      <c r="O239" s="184" t="str">
        <f>"["&amp;$C239&amp;"]["&amp;$D239&amp;"]["&amp;$F239&amp;"]"</f>
        <v>[S05_AggregateTotalEmissionsByCRF][2][TotalEmissionsTCo2e]</v>
      </c>
    </row>
    <row r="240" spans="1:15" x14ac:dyDescent="0.3">
      <c r="A240" t="s">
        <v>1793</v>
      </c>
      <c r="B240" t="s">
        <v>1949</v>
      </c>
      <c r="C240" t="s">
        <v>1952</v>
      </c>
      <c r="D240">
        <v>3</v>
      </c>
      <c r="E240" t="s">
        <v>1447</v>
      </c>
      <c r="F240" t="s">
        <v>1956</v>
      </c>
      <c r="G240" t="s">
        <v>1892</v>
      </c>
      <c r="H240" t="s">
        <v>1799</v>
      </c>
      <c r="I240" t="s">
        <v>1799</v>
      </c>
      <c r="J240">
        <v>2241753.872</v>
      </c>
      <c r="K240" t="s">
        <v>1799</v>
      </c>
      <c r="L240" t="s">
        <v>1799</v>
      </c>
      <c r="M240" t="s">
        <v>1799</v>
      </c>
      <c r="N240" t="s">
        <v>1799</v>
      </c>
      <c r="O240" s="184" t="str">
        <f>"["&amp;$C240&amp;"]["&amp;$D240&amp;"]["&amp;$F240&amp;"]"</f>
        <v>[S05_AggregateTotalEmissionsByCRF][3][TotalEmissionsTCo2e]</v>
      </c>
    </row>
    <row r="241" spans="1:15" x14ac:dyDescent="0.3">
      <c r="A241" t="s">
        <v>1793</v>
      </c>
      <c r="B241" t="s">
        <v>1949</v>
      </c>
      <c r="C241" t="s">
        <v>1952</v>
      </c>
      <c r="D241">
        <v>4</v>
      </c>
      <c r="E241" t="s">
        <v>1447</v>
      </c>
      <c r="F241" t="s">
        <v>1956</v>
      </c>
      <c r="G241" t="s">
        <v>1892</v>
      </c>
      <c r="H241" t="s">
        <v>1799</v>
      </c>
      <c r="I241" t="s">
        <v>1799</v>
      </c>
      <c r="J241">
        <v>29530433.820999999</v>
      </c>
      <c r="K241" t="s">
        <v>1799</v>
      </c>
      <c r="L241" t="s">
        <v>1799</v>
      </c>
      <c r="M241" t="s">
        <v>1799</v>
      </c>
      <c r="N241" t="s">
        <v>1799</v>
      </c>
      <c r="O241" s="184" t="str">
        <f>"["&amp;$C241&amp;"]["&amp;$D241&amp;"]["&amp;$F241&amp;"]"</f>
        <v>[S05_AggregateTotalEmissionsByCRF][4][TotalEmissionsTCo2e]</v>
      </c>
    </row>
    <row r="242" spans="1:15" x14ac:dyDescent="0.3">
      <c r="A242" t="s">
        <v>1793</v>
      </c>
      <c r="B242" t="s">
        <v>1949</v>
      </c>
      <c r="C242" t="s">
        <v>1952</v>
      </c>
      <c r="D242">
        <v>5</v>
      </c>
      <c r="E242" t="s">
        <v>1447</v>
      </c>
      <c r="F242" t="s">
        <v>1956</v>
      </c>
      <c r="G242" t="s">
        <v>1892</v>
      </c>
      <c r="H242" t="s">
        <v>1799</v>
      </c>
      <c r="I242" t="s">
        <v>1799</v>
      </c>
      <c r="J242">
        <v>1525198.5349999999</v>
      </c>
      <c r="K242" t="s">
        <v>1799</v>
      </c>
      <c r="L242" t="s">
        <v>1799</v>
      </c>
      <c r="M242" t="s">
        <v>1799</v>
      </c>
      <c r="N242" t="s">
        <v>1799</v>
      </c>
      <c r="O242" s="184" t="str">
        <f>"["&amp;$C242&amp;"]["&amp;$D242&amp;"]["&amp;$F242&amp;"]"</f>
        <v>[S05_AggregateTotalEmissionsByCRF][5][TotalEmissionsTCo2e]</v>
      </c>
    </row>
    <row r="243" spans="1:15" x14ac:dyDescent="0.3">
      <c r="A243" t="s">
        <v>1793</v>
      </c>
      <c r="B243" t="s">
        <v>1949</v>
      </c>
      <c r="C243" t="s">
        <v>1952</v>
      </c>
      <c r="D243">
        <v>6</v>
      </c>
      <c r="E243" t="s">
        <v>1447</v>
      </c>
      <c r="F243" t="s">
        <v>1956</v>
      </c>
      <c r="G243" t="s">
        <v>1892</v>
      </c>
      <c r="H243" t="s">
        <v>1799</v>
      </c>
      <c r="I243" t="s">
        <v>1799</v>
      </c>
      <c r="J243">
        <v>30513919.956999999</v>
      </c>
      <c r="K243" t="s">
        <v>1799</v>
      </c>
      <c r="L243" t="s">
        <v>1799</v>
      </c>
      <c r="M243" t="s">
        <v>1799</v>
      </c>
      <c r="N243" t="s">
        <v>1799</v>
      </c>
      <c r="O243" s="184" t="str">
        <f>"["&amp;$C243&amp;"]["&amp;$D243&amp;"]["&amp;$F243&amp;"]"</f>
        <v>[S05_AggregateTotalEmissionsByCRF][6][TotalEmissionsTCo2e]</v>
      </c>
    </row>
    <row r="244" spans="1:15" x14ac:dyDescent="0.3">
      <c r="A244" t="s">
        <v>1793</v>
      </c>
      <c r="B244" t="s">
        <v>1949</v>
      </c>
      <c r="C244" t="s">
        <v>1952</v>
      </c>
      <c r="D244">
        <v>7</v>
      </c>
      <c r="E244" t="s">
        <v>1447</v>
      </c>
      <c r="F244" t="s">
        <v>1956</v>
      </c>
      <c r="G244" t="s">
        <v>1892</v>
      </c>
      <c r="H244" t="s">
        <v>1799</v>
      </c>
      <c r="I244" t="s">
        <v>1799</v>
      </c>
      <c r="J244">
        <v>7215404.2970000003</v>
      </c>
      <c r="K244" t="s">
        <v>1799</v>
      </c>
      <c r="L244" t="s">
        <v>1799</v>
      </c>
      <c r="M244" t="s">
        <v>1799</v>
      </c>
      <c r="N244" t="s">
        <v>1799</v>
      </c>
      <c r="O244" s="184" t="str">
        <f>"["&amp;$C244&amp;"]["&amp;$D244&amp;"]["&amp;$F244&amp;"]"</f>
        <v>[S05_AggregateTotalEmissionsByCRF][7][TotalEmissionsTCo2e]</v>
      </c>
    </row>
    <row r="245" spans="1:15" x14ac:dyDescent="0.3">
      <c r="A245" t="s">
        <v>1793</v>
      </c>
      <c r="B245" t="s">
        <v>1949</v>
      </c>
      <c r="C245" t="s">
        <v>1952</v>
      </c>
      <c r="D245">
        <v>8</v>
      </c>
      <c r="E245" t="s">
        <v>1447</v>
      </c>
      <c r="F245" t="s">
        <v>1956</v>
      </c>
      <c r="G245" t="s">
        <v>1892</v>
      </c>
      <c r="H245" t="s">
        <v>1799</v>
      </c>
      <c r="I245" t="s">
        <v>1799</v>
      </c>
      <c r="J245">
        <v>1817215.1259999999</v>
      </c>
      <c r="K245" t="s">
        <v>1799</v>
      </c>
      <c r="L245" t="s">
        <v>1799</v>
      </c>
      <c r="M245" t="s">
        <v>1799</v>
      </c>
      <c r="N245" t="s">
        <v>1799</v>
      </c>
      <c r="O245" s="184" t="str">
        <f>"["&amp;$C245&amp;"]["&amp;$D245&amp;"]["&amp;$F245&amp;"]"</f>
        <v>[S05_AggregateTotalEmissionsByCRF][8][TotalEmissionsTCo2e]</v>
      </c>
    </row>
    <row r="246" spans="1:15" x14ac:dyDescent="0.3">
      <c r="A246" t="s">
        <v>1793</v>
      </c>
      <c r="B246" t="s">
        <v>1949</v>
      </c>
      <c r="C246" t="s">
        <v>1952</v>
      </c>
      <c r="D246">
        <v>9</v>
      </c>
      <c r="E246" t="s">
        <v>1447</v>
      </c>
      <c r="F246" t="s">
        <v>1956</v>
      </c>
      <c r="G246" t="s">
        <v>1892</v>
      </c>
      <c r="H246" t="s">
        <v>1799</v>
      </c>
      <c r="I246" t="s">
        <v>1799</v>
      </c>
      <c r="J246">
        <v>13912909.699999999</v>
      </c>
      <c r="K246" t="s">
        <v>1799</v>
      </c>
      <c r="L246" t="s">
        <v>1799</v>
      </c>
      <c r="M246" t="s">
        <v>1799</v>
      </c>
      <c r="N246" t="s">
        <v>1799</v>
      </c>
      <c r="O246" s="184" t="str">
        <f>"["&amp;$C246&amp;"]["&amp;$D246&amp;"]["&amp;$F246&amp;"]"</f>
        <v>[S05_AggregateTotalEmissionsByCRF][9][TotalEmissionsTCo2e]</v>
      </c>
    </row>
    <row r="247" spans="1:15" x14ac:dyDescent="0.3">
      <c r="A247" t="s">
        <v>1793</v>
      </c>
      <c r="B247" t="s">
        <v>1949</v>
      </c>
      <c r="C247" t="s">
        <v>1952</v>
      </c>
      <c r="D247">
        <v>10</v>
      </c>
      <c r="E247" t="s">
        <v>1447</v>
      </c>
      <c r="F247" t="s">
        <v>1956</v>
      </c>
      <c r="G247" t="s">
        <v>1892</v>
      </c>
      <c r="H247" t="s">
        <v>1799</v>
      </c>
      <c r="I247" t="s">
        <v>1799</v>
      </c>
      <c r="J247">
        <v>9930454.5720000099</v>
      </c>
      <c r="K247" t="s">
        <v>1799</v>
      </c>
      <c r="L247" t="s">
        <v>1799</v>
      </c>
      <c r="M247" t="s">
        <v>1799</v>
      </c>
      <c r="N247" t="s">
        <v>1799</v>
      </c>
      <c r="O247" s="184" t="str">
        <f>"["&amp;$C247&amp;"]["&amp;$D247&amp;"]["&amp;$F247&amp;"]"</f>
        <v>[S05_AggregateTotalEmissionsByCRF][10][TotalEmissionsTCo2e]</v>
      </c>
    </row>
    <row r="248" spans="1:15" x14ac:dyDescent="0.3">
      <c r="A248" t="s">
        <v>1793</v>
      </c>
      <c r="B248" t="s">
        <v>1949</v>
      </c>
      <c r="C248" t="s">
        <v>1952</v>
      </c>
      <c r="D248">
        <v>11</v>
      </c>
      <c r="E248" t="s">
        <v>1447</v>
      </c>
      <c r="F248" t="s">
        <v>1956</v>
      </c>
      <c r="G248" t="s">
        <v>1892</v>
      </c>
      <c r="H248" t="s">
        <v>1799</v>
      </c>
      <c r="I248" t="s">
        <v>1799</v>
      </c>
      <c r="J248">
        <v>808956.83400000003</v>
      </c>
      <c r="K248" t="s">
        <v>1799</v>
      </c>
      <c r="L248" t="s">
        <v>1799</v>
      </c>
      <c r="M248" t="s">
        <v>1799</v>
      </c>
      <c r="N248" t="s">
        <v>1799</v>
      </c>
      <c r="O248" s="184" t="str">
        <f>"["&amp;$C248&amp;"]["&amp;$D248&amp;"]["&amp;$F248&amp;"]"</f>
        <v>[S05_AggregateTotalEmissionsByCRF][11][TotalEmissionsTCo2e]</v>
      </c>
    </row>
    <row r="249" spans="1:15" x14ac:dyDescent="0.3">
      <c r="A249" t="s">
        <v>1793</v>
      </c>
      <c r="B249" t="s">
        <v>1949</v>
      </c>
      <c r="C249" t="s">
        <v>1952</v>
      </c>
      <c r="D249">
        <v>12</v>
      </c>
      <c r="E249" t="s">
        <v>1447</v>
      </c>
      <c r="F249" t="s">
        <v>1956</v>
      </c>
      <c r="G249" t="s">
        <v>1892</v>
      </c>
      <c r="H249" t="s">
        <v>1799</v>
      </c>
      <c r="I249" t="s">
        <v>1799</v>
      </c>
      <c r="J249">
        <v>488823.11900000001</v>
      </c>
      <c r="K249" t="s">
        <v>1799</v>
      </c>
      <c r="L249" t="s">
        <v>1799</v>
      </c>
      <c r="M249" t="s">
        <v>1799</v>
      </c>
      <c r="N249" t="s">
        <v>1799</v>
      </c>
      <c r="O249" s="184" t="str">
        <f>"["&amp;$C249&amp;"]["&amp;$D249&amp;"]["&amp;$F249&amp;"]"</f>
        <v>[S05_AggregateTotalEmissionsByCRF][12][TotalEmissionsTCo2e]</v>
      </c>
    </row>
    <row r="250" spans="1:15" x14ac:dyDescent="0.3">
      <c r="A250" t="s">
        <v>1793</v>
      </c>
      <c r="B250" t="s">
        <v>1949</v>
      </c>
      <c r="C250" t="s">
        <v>1952</v>
      </c>
      <c r="D250">
        <v>13</v>
      </c>
      <c r="E250" t="s">
        <v>1447</v>
      </c>
      <c r="F250" t="s">
        <v>1956</v>
      </c>
      <c r="G250" t="s">
        <v>1892</v>
      </c>
      <c r="H250" t="s">
        <v>1799</v>
      </c>
      <c r="I250" t="s">
        <v>1799</v>
      </c>
      <c r="J250">
        <v>91435.104999999996</v>
      </c>
      <c r="K250" t="s">
        <v>1799</v>
      </c>
      <c r="L250" t="s">
        <v>1799</v>
      </c>
      <c r="M250" t="s">
        <v>1799</v>
      </c>
      <c r="N250" t="s">
        <v>1799</v>
      </c>
      <c r="O250" s="184" t="str">
        <f>"["&amp;$C250&amp;"]["&amp;$D250&amp;"]["&amp;$F250&amp;"]"</f>
        <v>[S05_AggregateTotalEmissionsByCRF][13][TotalEmissionsTCo2e]</v>
      </c>
    </row>
    <row r="251" spans="1:15" x14ac:dyDescent="0.3">
      <c r="A251" t="s">
        <v>1793</v>
      </c>
      <c r="B251" t="s">
        <v>1949</v>
      </c>
      <c r="C251" t="s">
        <v>1952</v>
      </c>
      <c r="D251">
        <v>14</v>
      </c>
      <c r="E251" t="s">
        <v>1447</v>
      </c>
      <c r="F251" t="s">
        <v>1956</v>
      </c>
      <c r="G251" t="s">
        <v>1892</v>
      </c>
      <c r="H251" t="s">
        <v>1799</v>
      </c>
      <c r="I251" t="s">
        <v>1799</v>
      </c>
      <c r="J251">
        <v>312623.39</v>
      </c>
      <c r="K251" t="s">
        <v>1799</v>
      </c>
      <c r="L251" t="s">
        <v>1799</v>
      </c>
      <c r="M251" t="s">
        <v>1799</v>
      </c>
      <c r="N251" t="s">
        <v>1799</v>
      </c>
      <c r="O251" s="184" t="str">
        <f>"["&amp;$C251&amp;"]["&amp;$D251&amp;"]["&amp;$F251&amp;"]"</f>
        <v>[S05_AggregateTotalEmissionsByCRF][14][TotalEmissionsTCo2e]</v>
      </c>
    </row>
    <row r="252" spans="1:15" x14ac:dyDescent="0.3">
      <c r="A252" t="s">
        <v>1793</v>
      </c>
      <c r="B252" t="s">
        <v>1949</v>
      </c>
      <c r="C252" t="s">
        <v>1952</v>
      </c>
      <c r="D252">
        <v>15</v>
      </c>
      <c r="E252" t="s">
        <v>1447</v>
      </c>
      <c r="F252" t="s">
        <v>1956</v>
      </c>
      <c r="G252" t="s">
        <v>1892</v>
      </c>
      <c r="H252" t="s">
        <v>1799</v>
      </c>
      <c r="I252" t="s">
        <v>1799</v>
      </c>
      <c r="J252">
        <v>13654158.335000001</v>
      </c>
      <c r="K252" t="s">
        <v>1799</v>
      </c>
      <c r="L252" t="s">
        <v>1799</v>
      </c>
      <c r="M252" t="s">
        <v>1799</v>
      </c>
      <c r="N252" t="s">
        <v>1799</v>
      </c>
      <c r="O252" s="184" t="str">
        <f>"["&amp;$C252&amp;"]["&amp;$D252&amp;"]["&amp;$F252&amp;"]"</f>
        <v>[S05_AggregateTotalEmissionsByCRF][15][TotalEmissionsTCo2e]</v>
      </c>
    </row>
    <row r="253" spans="1:15" x14ac:dyDescent="0.3">
      <c r="A253" t="s">
        <v>1793</v>
      </c>
      <c r="B253" t="s">
        <v>1949</v>
      </c>
      <c r="C253" t="s">
        <v>1952</v>
      </c>
      <c r="D253">
        <v>16</v>
      </c>
      <c r="E253" t="s">
        <v>1447</v>
      </c>
      <c r="F253" t="s">
        <v>1956</v>
      </c>
      <c r="G253" t="s">
        <v>1892</v>
      </c>
      <c r="H253" t="s">
        <v>1799</v>
      </c>
      <c r="I253" t="s">
        <v>1799</v>
      </c>
      <c r="J253">
        <v>4606850.4960000003</v>
      </c>
      <c r="K253" t="s">
        <v>1799</v>
      </c>
      <c r="L253" t="s">
        <v>1799</v>
      </c>
      <c r="M253" t="s">
        <v>1799</v>
      </c>
      <c r="N253" t="s">
        <v>1799</v>
      </c>
      <c r="O253" s="184" t="str">
        <f>"["&amp;$C253&amp;"]["&amp;$D253&amp;"]["&amp;$F253&amp;"]"</f>
        <v>[S05_AggregateTotalEmissionsByCRF][16][TotalEmissionsTCo2e]</v>
      </c>
    </row>
    <row r="254" spans="1:15" x14ac:dyDescent="0.3">
      <c r="A254" t="s">
        <v>1793</v>
      </c>
      <c r="B254" t="s">
        <v>1949</v>
      </c>
      <c r="C254" t="s">
        <v>1952</v>
      </c>
      <c r="D254">
        <v>17</v>
      </c>
      <c r="E254" t="s">
        <v>1447</v>
      </c>
      <c r="F254" t="s">
        <v>1956</v>
      </c>
      <c r="G254" t="s">
        <v>1892</v>
      </c>
      <c r="H254" t="s">
        <v>1799</v>
      </c>
      <c r="I254" t="s">
        <v>1799</v>
      </c>
      <c r="J254">
        <v>912959.34900000005</v>
      </c>
      <c r="K254" t="s">
        <v>1799</v>
      </c>
      <c r="L254" t="s">
        <v>1799</v>
      </c>
      <c r="M254" t="s">
        <v>1799</v>
      </c>
      <c r="N254" t="s">
        <v>1799</v>
      </c>
      <c r="O254" s="184" t="str">
        <f>"["&amp;$C254&amp;"]["&amp;$D254&amp;"]["&amp;$F254&amp;"]"</f>
        <v>[S05_AggregateTotalEmissionsByCRF][17][TotalEmissionsTCo2e]</v>
      </c>
    </row>
    <row r="255" spans="1:15" x14ac:dyDescent="0.3">
      <c r="A255" t="s">
        <v>1793</v>
      </c>
      <c r="B255" t="s">
        <v>1949</v>
      </c>
      <c r="C255" t="s">
        <v>1952</v>
      </c>
      <c r="D255">
        <v>18</v>
      </c>
      <c r="E255" t="s">
        <v>1447</v>
      </c>
      <c r="F255" t="s">
        <v>1956</v>
      </c>
      <c r="G255" t="s">
        <v>1892</v>
      </c>
      <c r="H255" t="s">
        <v>1799</v>
      </c>
      <c r="I255" t="s">
        <v>1799</v>
      </c>
      <c r="J255">
        <v>519304.09499999997</v>
      </c>
      <c r="K255" t="s">
        <v>1799</v>
      </c>
      <c r="L255" t="s">
        <v>1799</v>
      </c>
      <c r="M255" t="s">
        <v>1799</v>
      </c>
      <c r="N255" t="s">
        <v>1799</v>
      </c>
      <c r="O255" s="184" t="str">
        <f>"["&amp;$C255&amp;"]["&amp;$D255&amp;"]["&amp;$F255&amp;"]"</f>
        <v>[S05_AggregateTotalEmissionsByCRF][18][TotalEmissionsTCo2e]</v>
      </c>
    </row>
    <row r="256" spans="1:15" x14ac:dyDescent="0.3">
      <c r="A256" t="s">
        <v>1793</v>
      </c>
      <c r="B256" t="s">
        <v>1949</v>
      </c>
      <c r="C256" t="s">
        <v>1952</v>
      </c>
      <c r="D256">
        <v>19</v>
      </c>
      <c r="E256" t="s">
        <v>1447</v>
      </c>
      <c r="F256" t="s">
        <v>1956</v>
      </c>
      <c r="G256" t="s">
        <v>1892</v>
      </c>
      <c r="H256" t="s">
        <v>1799</v>
      </c>
      <c r="I256" t="s">
        <v>1799</v>
      </c>
      <c r="J256">
        <v>5043497.37</v>
      </c>
      <c r="K256" t="s">
        <v>1799</v>
      </c>
      <c r="L256" t="s">
        <v>1799</v>
      </c>
      <c r="M256" t="s">
        <v>1799</v>
      </c>
      <c r="N256" t="s">
        <v>1799</v>
      </c>
      <c r="O256" s="184" t="str">
        <f>"["&amp;$C256&amp;"]["&amp;$D256&amp;"]["&amp;$F256&amp;"]"</f>
        <v>[S05_AggregateTotalEmissionsByCRF][19][TotalEmissionsTCo2e]</v>
      </c>
    </row>
    <row r="257" spans="1:15" x14ac:dyDescent="0.3">
      <c r="A257" t="s">
        <v>1793</v>
      </c>
      <c r="B257" t="s">
        <v>1949</v>
      </c>
      <c r="C257" t="s">
        <v>1952</v>
      </c>
      <c r="D257">
        <v>20</v>
      </c>
      <c r="E257" t="s">
        <v>1447</v>
      </c>
      <c r="F257" t="s">
        <v>1956</v>
      </c>
      <c r="G257" t="s">
        <v>1892</v>
      </c>
      <c r="H257" t="s">
        <v>1799</v>
      </c>
      <c r="I257" t="s">
        <v>1799</v>
      </c>
      <c r="J257">
        <v>404146.05900000001</v>
      </c>
      <c r="K257" t="s">
        <v>1799</v>
      </c>
      <c r="L257" t="s">
        <v>1799</v>
      </c>
      <c r="M257" t="s">
        <v>1799</v>
      </c>
      <c r="N257" t="s">
        <v>1799</v>
      </c>
      <c r="O257" s="184" t="str">
        <f>"["&amp;$C257&amp;"]["&amp;$D257&amp;"]["&amp;$F257&amp;"]"</f>
        <v>[S05_AggregateTotalEmissionsByCRF][20][TotalEmissionsTCo2e]</v>
      </c>
    </row>
    <row r="258" spans="1:15" x14ac:dyDescent="0.3">
      <c r="A258" t="s">
        <v>1793</v>
      </c>
      <c r="B258" t="s">
        <v>1949</v>
      </c>
      <c r="C258" t="s">
        <v>1952</v>
      </c>
      <c r="D258">
        <v>21</v>
      </c>
      <c r="E258" t="s">
        <v>1447</v>
      </c>
      <c r="F258" t="s">
        <v>1956</v>
      </c>
      <c r="G258" t="s">
        <v>1892</v>
      </c>
      <c r="H258" t="s">
        <v>1799</v>
      </c>
      <c r="I258" t="s">
        <v>1799</v>
      </c>
      <c r="J258">
        <v>15916.601000000001</v>
      </c>
      <c r="K258" t="s">
        <v>1799</v>
      </c>
      <c r="L258" t="s">
        <v>1799</v>
      </c>
      <c r="M258" t="s">
        <v>1799</v>
      </c>
      <c r="N258" t="s">
        <v>1799</v>
      </c>
      <c r="O258" s="184" t="str">
        <f>"["&amp;$C258&amp;"]["&amp;$D258&amp;"]["&amp;$F258&amp;"]"</f>
        <v>[S05_AggregateTotalEmissionsByCRF][21][TotalEmissionsTCo2e]</v>
      </c>
    </row>
    <row r="259" spans="1:15" x14ac:dyDescent="0.3">
      <c r="A259" t="s">
        <v>1793</v>
      </c>
      <c r="B259" t="s">
        <v>1949</v>
      </c>
      <c r="C259" t="s">
        <v>1952</v>
      </c>
      <c r="D259">
        <v>22</v>
      </c>
      <c r="E259" t="s">
        <v>1447</v>
      </c>
      <c r="F259" t="s">
        <v>1956</v>
      </c>
      <c r="G259" t="s">
        <v>1892</v>
      </c>
      <c r="H259" t="s">
        <v>1799</v>
      </c>
      <c r="I259" t="s">
        <v>1799</v>
      </c>
      <c r="J259">
        <v>40774.661999999997</v>
      </c>
      <c r="K259" t="s">
        <v>1799</v>
      </c>
      <c r="L259" t="s">
        <v>1799</v>
      </c>
      <c r="M259" t="s">
        <v>1799</v>
      </c>
      <c r="N259" t="s">
        <v>1799</v>
      </c>
      <c r="O259" s="184" t="str">
        <f>"["&amp;$C259&amp;"]["&amp;$D259&amp;"]["&amp;$F259&amp;"]"</f>
        <v>[S05_AggregateTotalEmissionsByCRF][22][TotalEmissionsTCo2e]</v>
      </c>
    </row>
    <row r="260" spans="1:15" x14ac:dyDescent="0.3">
      <c r="A260" t="s">
        <v>1793</v>
      </c>
      <c r="B260" t="s">
        <v>1949</v>
      </c>
      <c r="C260" t="s">
        <v>1952</v>
      </c>
      <c r="D260">
        <v>23</v>
      </c>
      <c r="E260" t="s">
        <v>1447</v>
      </c>
      <c r="F260" t="s">
        <v>1956</v>
      </c>
      <c r="G260" t="s">
        <v>1892</v>
      </c>
      <c r="H260" t="s">
        <v>1799</v>
      </c>
      <c r="I260" t="s">
        <v>1799</v>
      </c>
      <c r="J260">
        <v>87074.9920000001</v>
      </c>
      <c r="K260" t="s">
        <v>1799</v>
      </c>
      <c r="L260" t="s">
        <v>1799</v>
      </c>
      <c r="M260" t="s">
        <v>1799</v>
      </c>
      <c r="N260" t="s">
        <v>1799</v>
      </c>
      <c r="O260" s="184" t="str">
        <f>"["&amp;$C260&amp;"]["&amp;$D260&amp;"]["&amp;$F260&amp;"]"</f>
        <v>[S05_AggregateTotalEmissionsByCRF][23][TotalEmissionsTCo2e]</v>
      </c>
    </row>
    <row r="261" spans="1:15" x14ac:dyDescent="0.3">
      <c r="A261" t="s">
        <v>1793</v>
      </c>
      <c r="B261" t="s">
        <v>1949</v>
      </c>
      <c r="C261" t="s">
        <v>1952</v>
      </c>
      <c r="D261">
        <v>24</v>
      </c>
      <c r="E261" t="s">
        <v>1447</v>
      </c>
      <c r="F261" t="s">
        <v>1956</v>
      </c>
      <c r="G261" t="s">
        <v>1892</v>
      </c>
      <c r="H261" t="s">
        <v>1799</v>
      </c>
      <c r="I261" t="s">
        <v>1799</v>
      </c>
      <c r="J261">
        <v>-1182769.666</v>
      </c>
      <c r="K261" t="s">
        <v>1799</v>
      </c>
      <c r="L261" t="s">
        <v>1799</v>
      </c>
      <c r="M261" t="s">
        <v>1799</v>
      </c>
      <c r="N261" t="s">
        <v>1799</v>
      </c>
      <c r="O261" s="184" t="str">
        <f>"["&amp;$C261&amp;"]["&amp;$D261&amp;"]["&amp;$F261&amp;"]"</f>
        <v>[S05_AggregateTotalEmissionsByCRF][24][TotalEmissionsTCo2e]</v>
      </c>
    </row>
    <row r="262" spans="1:15" x14ac:dyDescent="0.3">
      <c r="A262" t="s">
        <v>1793</v>
      </c>
      <c r="B262" t="s">
        <v>1949</v>
      </c>
      <c r="C262" t="s">
        <v>1952</v>
      </c>
      <c r="D262">
        <v>25</v>
      </c>
      <c r="E262" t="s">
        <v>1447</v>
      </c>
      <c r="F262" t="s">
        <v>1956</v>
      </c>
      <c r="G262" t="s">
        <v>1892</v>
      </c>
      <c r="H262" t="s">
        <v>1799</v>
      </c>
      <c r="I262" t="s">
        <v>1799</v>
      </c>
      <c r="J262">
        <v>20559.458999999901</v>
      </c>
      <c r="K262" t="s">
        <v>1799</v>
      </c>
      <c r="L262" t="s">
        <v>1799</v>
      </c>
      <c r="M262" t="s">
        <v>1799</v>
      </c>
      <c r="N262" t="s">
        <v>1799</v>
      </c>
      <c r="O262" s="184" t="str">
        <f>"["&amp;$C262&amp;"]["&amp;$D262&amp;"]["&amp;$F262&amp;"]"</f>
        <v>[S05_AggregateTotalEmissionsByCRF][25][TotalEmissionsTCo2e]</v>
      </c>
    </row>
    <row r="263" spans="1:15" x14ac:dyDescent="0.3">
      <c r="A263" t="s">
        <v>1793</v>
      </c>
      <c r="B263" t="s">
        <v>1949</v>
      </c>
      <c r="C263" t="s">
        <v>1952</v>
      </c>
      <c r="D263">
        <v>26</v>
      </c>
      <c r="E263" t="s">
        <v>1447</v>
      </c>
      <c r="F263" t="s">
        <v>1956</v>
      </c>
      <c r="G263" t="s">
        <v>1892</v>
      </c>
      <c r="H263" t="s">
        <v>1799</v>
      </c>
      <c r="I263" t="s">
        <v>1799</v>
      </c>
      <c r="J263">
        <v>25737194.684</v>
      </c>
      <c r="K263" t="s">
        <v>1799</v>
      </c>
      <c r="L263" t="s">
        <v>1799</v>
      </c>
      <c r="M263" t="s">
        <v>1799</v>
      </c>
      <c r="N263" t="s">
        <v>1799</v>
      </c>
      <c r="O263" s="184" t="str">
        <f>"["&amp;$C263&amp;"]["&amp;$D263&amp;"]["&amp;$F263&amp;"]"</f>
        <v>[S05_AggregateTotalEmissionsByCRF][26][TotalEmissionsTCo2e]</v>
      </c>
    </row>
    <row r="264" spans="1:15" x14ac:dyDescent="0.3">
      <c r="A264" t="s">
        <v>1793</v>
      </c>
      <c r="B264" t="s">
        <v>1949</v>
      </c>
      <c r="C264" t="s">
        <v>1952</v>
      </c>
      <c r="D264">
        <v>27</v>
      </c>
      <c r="E264" t="s">
        <v>1447</v>
      </c>
      <c r="F264" t="s">
        <v>1956</v>
      </c>
      <c r="G264" t="s">
        <v>1892</v>
      </c>
      <c r="H264" t="s">
        <v>1799</v>
      </c>
      <c r="I264" t="s">
        <v>1799</v>
      </c>
      <c r="J264">
        <v>929580.70900000003</v>
      </c>
      <c r="K264" t="s">
        <v>1799</v>
      </c>
      <c r="L264" t="s">
        <v>1799</v>
      </c>
      <c r="M264" t="s">
        <v>1799</v>
      </c>
      <c r="N264" t="s">
        <v>1799</v>
      </c>
      <c r="O264" s="184" t="str">
        <f>"["&amp;$C264&amp;"]["&amp;$D264&amp;"]["&amp;$F264&amp;"]"</f>
        <v>[S05_AggregateTotalEmissionsByCRF][27][TotalEmissionsTCo2e]</v>
      </c>
    </row>
    <row r="265" spans="1:15" x14ac:dyDescent="0.3">
      <c r="A265" t="s">
        <v>1793</v>
      </c>
      <c r="B265" t="s">
        <v>1949</v>
      </c>
      <c r="C265" t="s">
        <v>1952</v>
      </c>
      <c r="D265">
        <v>28</v>
      </c>
      <c r="E265" t="s">
        <v>1447</v>
      </c>
      <c r="F265" t="s">
        <v>1956</v>
      </c>
      <c r="G265" t="s">
        <v>1892</v>
      </c>
      <c r="H265" t="s">
        <v>1799</v>
      </c>
      <c r="I265" t="s">
        <v>1799</v>
      </c>
      <c r="J265">
        <v>121.97799999999999</v>
      </c>
      <c r="K265" t="s">
        <v>1799</v>
      </c>
      <c r="L265" t="s">
        <v>1799</v>
      </c>
      <c r="M265" t="s">
        <v>1799</v>
      </c>
      <c r="N265" t="s">
        <v>1799</v>
      </c>
      <c r="O265" s="184" t="str">
        <f>"["&amp;$C265&amp;"]["&amp;$D265&amp;"]["&amp;$F265&amp;"]"</f>
        <v>[S05_AggregateTotalEmissionsByCRF][28][TotalEmissionsTCo2e]</v>
      </c>
    </row>
    <row r="266" spans="1:15" x14ac:dyDescent="0.3">
      <c r="A266" t="s">
        <v>1793</v>
      </c>
      <c r="B266" t="s">
        <v>1949</v>
      </c>
      <c r="C266" t="s">
        <v>1952</v>
      </c>
      <c r="D266">
        <v>29</v>
      </c>
      <c r="E266" t="s">
        <v>1447</v>
      </c>
      <c r="F266" t="s">
        <v>1956</v>
      </c>
      <c r="G266" t="s">
        <v>1892</v>
      </c>
      <c r="H266" t="s">
        <v>1799</v>
      </c>
      <c r="I266" t="s">
        <v>1799</v>
      </c>
      <c r="J266">
        <v>43333.845000000001</v>
      </c>
      <c r="K266" t="s">
        <v>1799</v>
      </c>
      <c r="L266" t="s">
        <v>1799</v>
      </c>
      <c r="M266" t="s">
        <v>1799</v>
      </c>
      <c r="N266" t="s">
        <v>1799</v>
      </c>
      <c r="O266" s="184" t="str">
        <f>"["&amp;$C266&amp;"]["&amp;$D266&amp;"]["&amp;$F266&amp;"]"</f>
        <v>[S05_AggregateTotalEmissionsByCRF][29][TotalEmissionsTCo2e]</v>
      </c>
    </row>
    <row r="267" spans="1:15" x14ac:dyDescent="0.3">
      <c r="A267" t="s">
        <v>1793</v>
      </c>
      <c r="B267" t="s">
        <v>1949</v>
      </c>
      <c r="C267" t="s">
        <v>1952</v>
      </c>
      <c r="D267">
        <v>30</v>
      </c>
      <c r="E267" t="s">
        <v>1447</v>
      </c>
      <c r="F267" t="s">
        <v>1956</v>
      </c>
      <c r="G267" t="s">
        <v>1892</v>
      </c>
      <c r="H267" t="s">
        <v>1799</v>
      </c>
      <c r="I267" t="s">
        <v>1799</v>
      </c>
      <c r="J267">
        <v>322457.67099999997</v>
      </c>
      <c r="K267" t="s">
        <v>1799</v>
      </c>
      <c r="L267" t="s">
        <v>1799</v>
      </c>
      <c r="M267" t="s">
        <v>1799</v>
      </c>
      <c r="N267" t="s">
        <v>1799</v>
      </c>
      <c r="O267" s="184" t="str">
        <f>"["&amp;$C267&amp;"]["&amp;$D267&amp;"]["&amp;$F267&amp;"]"</f>
        <v>[S05_AggregateTotalEmissionsByCRF][30][TotalEmissionsTCo2e]</v>
      </c>
    </row>
    <row r="268" spans="1:15" x14ac:dyDescent="0.3">
      <c r="A268" t="s">
        <v>1793</v>
      </c>
      <c r="B268" t="s">
        <v>1949</v>
      </c>
      <c r="C268" t="s">
        <v>1952</v>
      </c>
      <c r="D268">
        <v>31</v>
      </c>
      <c r="E268" t="s">
        <v>1447</v>
      </c>
      <c r="F268" t="s">
        <v>1956</v>
      </c>
      <c r="G268" t="s">
        <v>1892</v>
      </c>
      <c r="H268" t="s">
        <v>1799</v>
      </c>
      <c r="I268" t="s">
        <v>1799</v>
      </c>
      <c r="J268">
        <v>151181.00599999999</v>
      </c>
      <c r="K268" t="s">
        <v>1799</v>
      </c>
      <c r="L268" t="s">
        <v>1799</v>
      </c>
      <c r="M268" t="s">
        <v>1799</v>
      </c>
      <c r="N268" t="s">
        <v>1799</v>
      </c>
      <c r="O268" s="184" t="str">
        <f>"["&amp;$C268&amp;"]["&amp;$D268&amp;"]["&amp;$F268&amp;"]"</f>
        <v>[S05_AggregateTotalEmissionsByCRF][31][TotalEmissionsTCo2e]</v>
      </c>
    </row>
    <row r="269" spans="1:15" x14ac:dyDescent="0.3">
      <c r="A269" t="s">
        <v>1793</v>
      </c>
      <c r="B269" t="s">
        <v>1949</v>
      </c>
      <c r="C269" t="s">
        <v>1952</v>
      </c>
      <c r="D269">
        <v>1</v>
      </c>
      <c r="E269" t="s">
        <v>1447</v>
      </c>
      <c r="F269" t="s">
        <v>1957</v>
      </c>
      <c r="G269" t="s">
        <v>1892</v>
      </c>
      <c r="H269" t="s">
        <v>1799</v>
      </c>
      <c r="I269" t="s">
        <v>1799</v>
      </c>
      <c r="J269">
        <v>184856804.25099999</v>
      </c>
      <c r="K269" t="s">
        <v>1799</v>
      </c>
      <c r="L269" t="s">
        <v>1799</v>
      </c>
      <c r="M269" t="s">
        <v>1799</v>
      </c>
      <c r="N269" t="s">
        <v>1799</v>
      </c>
      <c r="O269" s="184" t="str">
        <f>"["&amp;$C269&amp;"]["&amp;$D269&amp;"]["&amp;$F269&amp;"]"</f>
        <v>[S05_AggregateTotalEmissionsByCRF][1][TotalCombustionEmissionsTCo2e]</v>
      </c>
    </row>
    <row r="270" spans="1:15" x14ac:dyDescent="0.3">
      <c r="A270" t="s">
        <v>1793</v>
      </c>
      <c r="B270" t="s">
        <v>1949</v>
      </c>
      <c r="C270" t="s">
        <v>1952</v>
      </c>
      <c r="D270">
        <v>2</v>
      </c>
      <c r="E270" t="s">
        <v>1447</v>
      </c>
      <c r="F270" t="s">
        <v>1957</v>
      </c>
      <c r="G270" t="s">
        <v>1892</v>
      </c>
      <c r="H270" t="s">
        <v>1799</v>
      </c>
      <c r="I270" t="s">
        <v>1799</v>
      </c>
      <c r="J270">
        <v>20662164.802000001</v>
      </c>
      <c r="K270" t="s">
        <v>1799</v>
      </c>
      <c r="L270" t="s">
        <v>1799</v>
      </c>
      <c r="M270" t="s">
        <v>1799</v>
      </c>
      <c r="N270" t="s">
        <v>1799</v>
      </c>
      <c r="O270" s="184" t="str">
        <f>"["&amp;$C270&amp;"]["&amp;$D270&amp;"]["&amp;$F270&amp;"]"</f>
        <v>[S05_AggregateTotalEmissionsByCRF][2][TotalCombustionEmissionsTCo2e]</v>
      </c>
    </row>
    <row r="271" spans="1:15" x14ac:dyDescent="0.3">
      <c r="A271" t="s">
        <v>1793</v>
      </c>
      <c r="B271" t="s">
        <v>1949</v>
      </c>
      <c r="C271" t="s">
        <v>1952</v>
      </c>
      <c r="D271">
        <v>3</v>
      </c>
      <c r="E271" t="s">
        <v>1447</v>
      </c>
      <c r="F271" t="s">
        <v>1957</v>
      </c>
      <c r="G271" t="s">
        <v>1892</v>
      </c>
      <c r="H271" t="s">
        <v>1799</v>
      </c>
      <c r="I271" t="s">
        <v>1799</v>
      </c>
      <c r="J271">
        <v>2241753.872</v>
      </c>
      <c r="K271" t="s">
        <v>1799</v>
      </c>
      <c r="L271" t="s">
        <v>1799</v>
      </c>
      <c r="M271" t="s">
        <v>1799</v>
      </c>
      <c r="N271" t="s">
        <v>1799</v>
      </c>
      <c r="O271" s="184" t="str">
        <f>"["&amp;$C271&amp;"]["&amp;$D271&amp;"]["&amp;$F271&amp;"]"</f>
        <v>[S05_AggregateTotalEmissionsByCRF][3][TotalCombustionEmissionsTCo2e]</v>
      </c>
    </row>
    <row r="272" spans="1:15" x14ac:dyDescent="0.3">
      <c r="A272" t="s">
        <v>1793</v>
      </c>
      <c r="B272" t="s">
        <v>1949</v>
      </c>
      <c r="C272" t="s">
        <v>1952</v>
      </c>
      <c r="D272">
        <v>4</v>
      </c>
      <c r="E272" t="s">
        <v>1447</v>
      </c>
      <c r="F272" t="s">
        <v>1957</v>
      </c>
      <c r="G272" t="s">
        <v>1892</v>
      </c>
      <c r="H272" t="s">
        <v>1799</v>
      </c>
      <c r="I272" t="s">
        <v>1799</v>
      </c>
      <c r="J272">
        <v>29530433.820999999</v>
      </c>
      <c r="K272" t="s">
        <v>1799</v>
      </c>
      <c r="L272" t="s">
        <v>1799</v>
      </c>
      <c r="M272" t="s">
        <v>1799</v>
      </c>
      <c r="N272" t="s">
        <v>1799</v>
      </c>
      <c r="O272" s="184" t="str">
        <f>"["&amp;$C272&amp;"]["&amp;$D272&amp;"]["&amp;$F272&amp;"]"</f>
        <v>[S05_AggregateTotalEmissionsByCRF][4][TotalCombustionEmissionsTCo2e]</v>
      </c>
    </row>
    <row r="273" spans="1:15" x14ac:dyDescent="0.3">
      <c r="A273" t="s">
        <v>1793</v>
      </c>
      <c r="B273" t="s">
        <v>1949</v>
      </c>
      <c r="C273" t="s">
        <v>1952</v>
      </c>
      <c r="D273">
        <v>5</v>
      </c>
      <c r="E273" t="s">
        <v>1447</v>
      </c>
      <c r="F273" t="s">
        <v>1957</v>
      </c>
      <c r="G273" t="s">
        <v>1892</v>
      </c>
      <c r="H273" t="s">
        <v>1799</v>
      </c>
      <c r="I273" t="s">
        <v>1799</v>
      </c>
      <c r="J273">
        <v>1525198.5349999999</v>
      </c>
      <c r="K273" t="s">
        <v>1799</v>
      </c>
      <c r="L273" t="s">
        <v>1799</v>
      </c>
      <c r="M273" t="s">
        <v>1799</v>
      </c>
      <c r="N273" t="s">
        <v>1799</v>
      </c>
      <c r="O273" s="184" t="str">
        <f>"["&amp;$C273&amp;"]["&amp;$D273&amp;"]["&amp;$F273&amp;"]"</f>
        <v>[S05_AggregateTotalEmissionsByCRF][5][TotalCombustionEmissionsTCo2e]</v>
      </c>
    </row>
    <row r="274" spans="1:15" x14ac:dyDescent="0.3">
      <c r="A274" t="s">
        <v>1793</v>
      </c>
      <c r="B274" t="s">
        <v>1949</v>
      </c>
      <c r="C274" t="s">
        <v>1952</v>
      </c>
      <c r="D274">
        <v>6</v>
      </c>
      <c r="E274" t="s">
        <v>1447</v>
      </c>
      <c r="F274" t="s">
        <v>1957</v>
      </c>
      <c r="G274" t="s">
        <v>1892</v>
      </c>
      <c r="H274" t="s">
        <v>1799</v>
      </c>
      <c r="I274" t="s">
        <v>1799</v>
      </c>
      <c r="J274">
        <v>30513919.956999999</v>
      </c>
      <c r="K274" t="s">
        <v>1799</v>
      </c>
      <c r="L274" t="s">
        <v>1799</v>
      </c>
      <c r="M274" t="s">
        <v>1799</v>
      </c>
      <c r="N274" t="s">
        <v>1799</v>
      </c>
      <c r="O274" s="184" t="str">
        <f>"["&amp;$C274&amp;"]["&amp;$D274&amp;"]["&amp;$F274&amp;"]"</f>
        <v>[S05_AggregateTotalEmissionsByCRF][6][TotalCombustionEmissionsTCo2e]</v>
      </c>
    </row>
    <row r="275" spans="1:15" x14ac:dyDescent="0.3">
      <c r="A275" t="s">
        <v>1793</v>
      </c>
      <c r="B275" t="s">
        <v>1949</v>
      </c>
      <c r="C275" t="s">
        <v>1952</v>
      </c>
      <c r="D275">
        <v>7</v>
      </c>
      <c r="E275" t="s">
        <v>1447</v>
      </c>
      <c r="F275" t="s">
        <v>1957</v>
      </c>
      <c r="G275" t="s">
        <v>1892</v>
      </c>
      <c r="H275" t="s">
        <v>1799</v>
      </c>
      <c r="I275" t="s">
        <v>1799</v>
      </c>
      <c r="J275">
        <v>7215404.2970000003</v>
      </c>
      <c r="K275" t="s">
        <v>1799</v>
      </c>
      <c r="L275" t="s">
        <v>1799</v>
      </c>
      <c r="M275" t="s">
        <v>1799</v>
      </c>
      <c r="N275" t="s">
        <v>1799</v>
      </c>
      <c r="O275" s="184" t="str">
        <f>"["&amp;$C275&amp;"]["&amp;$D275&amp;"]["&amp;$F275&amp;"]"</f>
        <v>[S05_AggregateTotalEmissionsByCRF][7][TotalCombustionEmissionsTCo2e]</v>
      </c>
    </row>
    <row r="276" spans="1:15" x14ac:dyDescent="0.3">
      <c r="A276" t="s">
        <v>1793</v>
      </c>
      <c r="B276" t="s">
        <v>1949</v>
      </c>
      <c r="C276" t="s">
        <v>1952</v>
      </c>
      <c r="D276">
        <v>8</v>
      </c>
      <c r="E276" t="s">
        <v>1447</v>
      </c>
      <c r="F276" t="s">
        <v>1957</v>
      </c>
      <c r="G276" t="s">
        <v>1892</v>
      </c>
      <c r="H276" t="s">
        <v>1799</v>
      </c>
      <c r="I276" t="s">
        <v>1799</v>
      </c>
      <c r="J276">
        <v>1817215.1259999999</v>
      </c>
      <c r="K276" t="s">
        <v>1799</v>
      </c>
      <c r="L276" t="s">
        <v>1799</v>
      </c>
      <c r="M276" t="s">
        <v>1799</v>
      </c>
      <c r="N276" t="s">
        <v>1799</v>
      </c>
      <c r="O276" s="184" t="str">
        <f>"["&amp;$C276&amp;"]["&amp;$D276&amp;"]["&amp;$F276&amp;"]"</f>
        <v>[S05_AggregateTotalEmissionsByCRF][8][TotalCombustionEmissionsTCo2e]</v>
      </c>
    </row>
    <row r="277" spans="1:15" x14ac:dyDescent="0.3">
      <c r="A277" t="s">
        <v>1793</v>
      </c>
      <c r="B277" t="s">
        <v>1949</v>
      </c>
      <c r="C277" t="s">
        <v>1952</v>
      </c>
      <c r="D277">
        <v>9</v>
      </c>
      <c r="E277" t="s">
        <v>1447</v>
      </c>
      <c r="F277" t="s">
        <v>1957</v>
      </c>
      <c r="G277" t="s">
        <v>1892</v>
      </c>
      <c r="H277" t="s">
        <v>1799</v>
      </c>
      <c r="I277" t="s">
        <v>1799</v>
      </c>
      <c r="J277">
        <v>13912909.699999999</v>
      </c>
      <c r="K277" t="s">
        <v>1799</v>
      </c>
      <c r="L277" t="s">
        <v>1799</v>
      </c>
      <c r="M277" t="s">
        <v>1799</v>
      </c>
      <c r="N277" t="s">
        <v>1799</v>
      </c>
      <c r="O277" s="184" t="str">
        <f>"["&amp;$C277&amp;"]["&amp;$D277&amp;"]["&amp;$F277&amp;"]"</f>
        <v>[S05_AggregateTotalEmissionsByCRF][9][TotalCombustionEmissionsTCo2e]</v>
      </c>
    </row>
    <row r="278" spans="1:15" x14ac:dyDescent="0.3">
      <c r="A278" t="s">
        <v>1793</v>
      </c>
      <c r="B278" t="s">
        <v>1949</v>
      </c>
      <c r="C278" t="s">
        <v>1952</v>
      </c>
      <c r="D278">
        <v>10</v>
      </c>
      <c r="E278" t="s">
        <v>1447</v>
      </c>
      <c r="F278" t="s">
        <v>1957</v>
      </c>
      <c r="G278" t="s">
        <v>1892</v>
      </c>
      <c r="H278" t="s">
        <v>1799</v>
      </c>
      <c r="I278" t="s">
        <v>1799</v>
      </c>
      <c r="J278">
        <v>9930454.5720000099</v>
      </c>
      <c r="K278" t="s">
        <v>1799</v>
      </c>
      <c r="L278" t="s">
        <v>1799</v>
      </c>
      <c r="M278" t="s">
        <v>1799</v>
      </c>
      <c r="N278" t="s">
        <v>1799</v>
      </c>
      <c r="O278" s="184" t="str">
        <f>"["&amp;$C278&amp;"]["&amp;$D278&amp;"]["&amp;$F278&amp;"]"</f>
        <v>[S05_AggregateTotalEmissionsByCRF][10][TotalCombustionEmissionsTCo2e]</v>
      </c>
    </row>
    <row r="279" spans="1:15" x14ac:dyDescent="0.3">
      <c r="A279" t="s">
        <v>1793</v>
      </c>
      <c r="B279" t="s">
        <v>1949</v>
      </c>
      <c r="C279" t="s">
        <v>1952</v>
      </c>
      <c r="D279">
        <v>11</v>
      </c>
      <c r="E279" t="s">
        <v>1447</v>
      </c>
      <c r="F279" t="s">
        <v>1957</v>
      </c>
      <c r="G279" t="s">
        <v>1892</v>
      </c>
      <c r="H279" t="s">
        <v>1799</v>
      </c>
      <c r="I279" t="s">
        <v>1799</v>
      </c>
      <c r="J279">
        <v>808956.83400000003</v>
      </c>
      <c r="K279" t="s">
        <v>1799</v>
      </c>
      <c r="L279" t="s">
        <v>1799</v>
      </c>
      <c r="M279" t="s">
        <v>1799</v>
      </c>
      <c r="N279" t="s">
        <v>1799</v>
      </c>
      <c r="O279" s="184" t="str">
        <f>"["&amp;$C279&amp;"]["&amp;$D279&amp;"]["&amp;$F279&amp;"]"</f>
        <v>[S05_AggregateTotalEmissionsByCRF][11][TotalCombustionEmissionsTCo2e]</v>
      </c>
    </row>
    <row r="280" spans="1:15" x14ac:dyDescent="0.3">
      <c r="A280" t="s">
        <v>1793</v>
      </c>
      <c r="B280" t="s">
        <v>1949</v>
      </c>
      <c r="C280" t="s">
        <v>1952</v>
      </c>
      <c r="D280">
        <v>12</v>
      </c>
      <c r="E280" t="s">
        <v>1447</v>
      </c>
      <c r="F280" t="s">
        <v>1957</v>
      </c>
      <c r="G280" t="s">
        <v>1892</v>
      </c>
      <c r="H280" t="s">
        <v>1799</v>
      </c>
      <c r="I280" t="s">
        <v>1799</v>
      </c>
      <c r="J280">
        <v>488823.11900000001</v>
      </c>
      <c r="K280" t="s">
        <v>1799</v>
      </c>
      <c r="L280" t="s">
        <v>1799</v>
      </c>
      <c r="M280" t="s">
        <v>1799</v>
      </c>
      <c r="N280" t="s">
        <v>1799</v>
      </c>
      <c r="O280" s="184" t="str">
        <f>"["&amp;$C280&amp;"]["&amp;$D280&amp;"]["&amp;$F280&amp;"]"</f>
        <v>[S05_AggregateTotalEmissionsByCRF][12][TotalCombustionEmissionsTCo2e]</v>
      </c>
    </row>
    <row r="281" spans="1:15" x14ac:dyDescent="0.3">
      <c r="A281" t="s">
        <v>1793</v>
      </c>
      <c r="B281" t="s">
        <v>1949</v>
      </c>
      <c r="C281" t="s">
        <v>1952</v>
      </c>
      <c r="D281">
        <v>13</v>
      </c>
      <c r="E281" t="s">
        <v>1447</v>
      </c>
      <c r="F281" t="s">
        <v>1957</v>
      </c>
      <c r="G281" t="s">
        <v>1892</v>
      </c>
      <c r="H281" t="s">
        <v>1799</v>
      </c>
      <c r="I281" t="s">
        <v>1799</v>
      </c>
      <c r="J281">
        <v>91435.104999999996</v>
      </c>
      <c r="K281" t="s">
        <v>1799</v>
      </c>
      <c r="L281" t="s">
        <v>1799</v>
      </c>
      <c r="M281" t="s">
        <v>1799</v>
      </c>
      <c r="N281" t="s">
        <v>1799</v>
      </c>
      <c r="O281" s="184" t="str">
        <f>"["&amp;$C281&amp;"]["&amp;$D281&amp;"]["&amp;$F281&amp;"]"</f>
        <v>[S05_AggregateTotalEmissionsByCRF][13][TotalCombustionEmissionsTCo2e]</v>
      </c>
    </row>
    <row r="282" spans="1:15" x14ac:dyDescent="0.3">
      <c r="A282" t="s">
        <v>1793</v>
      </c>
      <c r="B282" t="s">
        <v>1949</v>
      </c>
      <c r="C282" t="s">
        <v>1952</v>
      </c>
      <c r="D282">
        <v>14</v>
      </c>
      <c r="E282" t="s">
        <v>1447</v>
      </c>
      <c r="F282" t="s">
        <v>1957</v>
      </c>
      <c r="G282" t="s">
        <v>1892</v>
      </c>
      <c r="H282" t="s">
        <v>1799</v>
      </c>
      <c r="I282" t="s">
        <v>1799</v>
      </c>
      <c r="J282">
        <v>312623.39</v>
      </c>
      <c r="K282" t="s">
        <v>1799</v>
      </c>
      <c r="L282" t="s">
        <v>1799</v>
      </c>
      <c r="M282" t="s">
        <v>1799</v>
      </c>
      <c r="N282" t="s">
        <v>1799</v>
      </c>
      <c r="O282" s="184" t="str">
        <f>"["&amp;$C282&amp;"]["&amp;$D282&amp;"]["&amp;$F282&amp;"]"</f>
        <v>[S05_AggregateTotalEmissionsByCRF][14][TotalCombustionEmissionsTCo2e]</v>
      </c>
    </row>
    <row r="283" spans="1:15" x14ac:dyDescent="0.3">
      <c r="A283" t="s">
        <v>1793</v>
      </c>
      <c r="B283" t="s">
        <v>1949</v>
      </c>
      <c r="C283" t="s">
        <v>1952</v>
      </c>
      <c r="D283">
        <v>15</v>
      </c>
      <c r="E283" t="s">
        <v>1447</v>
      </c>
      <c r="F283" t="s">
        <v>1958</v>
      </c>
      <c r="G283" t="s">
        <v>1892</v>
      </c>
      <c r="H283" t="s">
        <v>1799</v>
      </c>
      <c r="I283" t="s">
        <v>1799</v>
      </c>
      <c r="J283">
        <v>13654158.335000001</v>
      </c>
      <c r="K283" t="s">
        <v>1799</v>
      </c>
      <c r="L283" t="s">
        <v>1799</v>
      </c>
      <c r="M283" t="s">
        <v>1799</v>
      </c>
      <c r="N283" t="s">
        <v>1799</v>
      </c>
      <c r="O283" s="184" t="str">
        <f>"["&amp;$C283&amp;"]["&amp;$D283&amp;"]["&amp;$F283&amp;"]"</f>
        <v>[S05_AggregateTotalEmissionsByCRF][15][TotalProcessEmissionsTCo2e]</v>
      </c>
    </row>
    <row r="284" spans="1:15" x14ac:dyDescent="0.3">
      <c r="A284" t="s">
        <v>1793</v>
      </c>
      <c r="B284" t="s">
        <v>1949</v>
      </c>
      <c r="C284" t="s">
        <v>1952</v>
      </c>
      <c r="D284">
        <v>16</v>
      </c>
      <c r="E284" t="s">
        <v>1447</v>
      </c>
      <c r="F284" t="s">
        <v>1958</v>
      </c>
      <c r="G284" t="s">
        <v>1892</v>
      </c>
      <c r="H284" t="s">
        <v>1799</v>
      </c>
      <c r="I284" t="s">
        <v>1799</v>
      </c>
      <c r="J284">
        <v>4606850.4960000003</v>
      </c>
      <c r="K284" t="s">
        <v>1799</v>
      </c>
      <c r="L284" t="s">
        <v>1799</v>
      </c>
      <c r="M284" t="s">
        <v>1799</v>
      </c>
      <c r="N284" t="s">
        <v>1799</v>
      </c>
      <c r="O284" s="184" t="str">
        <f>"["&amp;$C284&amp;"]["&amp;$D284&amp;"]["&amp;$F284&amp;"]"</f>
        <v>[S05_AggregateTotalEmissionsByCRF][16][TotalProcessEmissionsTCo2e]</v>
      </c>
    </row>
    <row r="285" spans="1:15" x14ac:dyDescent="0.3">
      <c r="A285" t="s">
        <v>1793</v>
      </c>
      <c r="B285" t="s">
        <v>1949</v>
      </c>
      <c r="C285" t="s">
        <v>1952</v>
      </c>
      <c r="D285">
        <v>17</v>
      </c>
      <c r="E285" t="s">
        <v>1447</v>
      </c>
      <c r="F285" t="s">
        <v>1958</v>
      </c>
      <c r="G285" t="s">
        <v>1892</v>
      </c>
      <c r="H285" t="s">
        <v>1799</v>
      </c>
      <c r="I285" t="s">
        <v>1799</v>
      </c>
      <c r="J285">
        <v>912959.34900000005</v>
      </c>
      <c r="K285" t="s">
        <v>1799</v>
      </c>
      <c r="L285" t="s">
        <v>1799</v>
      </c>
      <c r="M285" t="s">
        <v>1799</v>
      </c>
      <c r="N285" t="s">
        <v>1799</v>
      </c>
      <c r="O285" s="184" t="str">
        <f>"["&amp;$C285&amp;"]["&amp;$D285&amp;"]["&amp;$F285&amp;"]"</f>
        <v>[S05_AggregateTotalEmissionsByCRF][17][TotalProcessEmissionsTCo2e]</v>
      </c>
    </row>
    <row r="286" spans="1:15" x14ac:dyDescent="0.3">
      <c r="A286" t="s">
        <v>1793</v>
      </c>
      <c r="B286" t="s">
        <v>1949</v>
      </c>
      <c r="C286" t="s">
        <v>1952</v>
      </c>
      <c r="D286">
        <v>18</v>
      </c>
      <c r="E286" t="s">
        <v>1447</v>
      </c>
      <c r="F286" t="s">
        <v>1958</v>
      </c>
      <c r="G286" t="s">
        <v>1892</v>
      </c>
      <c r="H286" t="s">
        <v>1799</v>
      </c>
      <c r="I286" t="s">
        <v>1799</v>
      </c>
      <c r="J286">
        <v>519304.09499999997</v>
      </c>
      <c r="K286" t="s">
        <v>1799</v>
      </c>
      <c r="L286" t="s">
        <v>1799</v>
      </c>
      <c r="M286" t="s">
        <v>1799</v>
      </c>
      <c r="N286" t="s">
        <v>1799</v>
      </c>
      <c r="O286" s="184" t="str">
        <f>"["&amp;$C286&amp;"]["&amp;$D286&amp;"]["&amp;$F286&amp;"]"</f>
        <v>[S05_AggregateTotalEmissionsByCRF][18][TotalProcessEmissionsTCo2e]</v>
      </c>
    </row>
    <row r="287" spans="1:15" x14ac:dyDescent="0.3">
      <c r="A287" t="s">
        <v>1793</v>
      </c>
      <c r="B287" t="s">
        <v>1949</v>
      </c>
      <c r="C287" t="s">
        <v>1952</v>
      </c>
      <c r="D287">
        <v>19</v>
      </c>
      <c r="E287" t="s">
        <v>1447</v>
      </c>
      <c r="F287" t="s">
        <v>1958</v>
      </c>
      <c r="G287" t="s">
        <v>1892</v>
      </c>
      <c r="H287" t="s">
        <v>1799</v>
      </c>
      <c r="I287" t="s">
        <v>1799</v>
      </c>
      <c r="J287">
        <v>5043497.37</v>
      </c>
      <c r="K287" t="s">
        <v>1799</v>
      </c>
      <c r="L287" t="s">
        <v>1799</v>
      </c>
      <c r="M287" t="s">
        <v>1799</v>
      </c>
      <c r="N287" t="s">
        <v>1799</v>
      </c>
      <c r="O287" s="184" t="str">
        <f>"["&amp;$C287&amp;"]["&amp;$D287&amp;"]["&amp;$F287&amp;"]"</f>
        <v>[S05_AggregateTotalEmissionsByCRF][19][TotalProcessEmissionsTCo2e]</v>
      </c>
    </row>
    <row r="288" spans="1:15" x14ac:dyDescent="0.3">
      <c r="A288" t="s">
        <v>1793</v>
      </c>
      <c r="B288" t="s">
        <v>1949</v>
      </c>
      <c r="C288" t="s">
        <v>1952</v>
      </c>
      <c r="D288">
        <v>20</v>
      </c>
      <c r="E288" t="s">
        <v>1447</v>
      </c>
      <c r="F288" t="s">
        <v>1958</v>
      </c>
      <c r="G288" t="s">
        <v>1892</v>
      </c>
      <c r="H288" t="s">
        <v>1799</v>
      </c>
      <c r="I288" t="s">
        <v>1799</v>
      </c>
      <c r="J288">
        <v>404146.05900000001</v>
      </c>
      <c r="K288" t="s">
        <v>1799</v>
      </c>
      <c r="L288" t="s">
        <v>1799</v>
      </c>
      <c r="M288" t="s">
        <v>1799</v>
      </c>
      <c r="N288" t="s">
        <v>1799</v>
      </c>
      <c r="O288" s="184" t="str">
        <f>"["&amp;$C288&amp;"]["&amp;$D288&amp;"]["&amp;$F288&amp;"]"</f>
        <v>[S05_AggregateTotalEmissionsByCRF][20][TotalProcessEmissionsTCo2e]</v>
      </c>
    </row>
    <row r="289" spans="1:15" x14ac:dyDescent="0.3">
      <c r="A289" t="s">
        <v>1793</v>
      </c>
      <c r="B289" t="s">
        <v>1949</v>
      </c>
      <c r="C289" t="s">
        <v>1952</v>
      </c>
      <c r="D289">
        <v>21</v>
      </c>
      <c r="E289" t="s">
        <v>1447</v>
      </c>
      <c r="F289" t="s">
        <v>1958</v>
      </c>
      <c r="G289" t="s">
        <v>1892</v>
      </c>
      <c r="H289" t="s">
        <v>1799</v>
      </c>
      <c r="I289" t="s">
        <v>1799</v>
      </c>
      <c r="J289">
        <v>15916.601000000001</v>
      </c>
      <c r="K289" t="s">
        <v>1799</v>
      </c>
      <c r="L289" t="s">
        <v>1799</v>
      </c>
      <c r="M289" t="s">
        <v>1799</v>
      </c>
      <c r="N289" t="s">
        <v>1799</v>
      </c>
      <c r="O289" s="184" t="str">
        <f>"["&amp;$C289&amp;"]["&amp;$D289&amp;"]["&amp;$F289&amp;"]"</f>
        <v>[S05_AggregateTotalEmissionsByCRF][21][TotalProcessEmissionsTCo2e]</v>
      </c>
    </row>
    <row r="290" spans="1:15" x14ac:dyDescent="0.3">
      <c r="A290" t="s">
        <v>1793</v>
      </c>
      <c r="B290" t="s">
        <v>1949</v>
      </c>
      <c r="C290" t="s">
        <v>1952</v>
      </c>
      <c r="D290">
        <v>22</v>
      </c>
      <c r="E290" t="s">
        <v>1447</v>
      </c>
      <c r="F290" t="s">
        <v>1958</v>
      </c>
      <c r="G290" t="s">
        <v>1892</v>
      </c>
      <c r="H290" t="s">
        <v>1799</v>
      </c>
      <c r="I290" t="s">
        <v>1799</v>
      </c>
      <c r="J290">
        <v>40774.661999999997</v>
      </c>
      <c r="K290" t="s">
        <v>1799</v>
      </c>
      <c r="L290" t="s">
        <v>1799</v>
      </c>
      <c r="M290" t="s">
        <v>1799</v>
      </c>
      <c r="N290" t="s">
        <v>1799</v>
      </c>
      <c r="O290" s="184" t="str">
        <f>"["&amp;$C290&amp;"]["&amp;$D290&amp;"]["&amp;$F290&amp;"]"</f>
        <v>[S05_AggregateTotalEmissionsByCRF][22][TotalProcessEmissionsTCo2e]</v>
      </c>
    </row>
    <row r="291" spans="1:15" x14ac:dyDescent="0.3">
      <c r="A291" t="s">
        <v>1793</v>
      </c>
      <c r="B291" t="s">
        <v>1949</v>
      </c>
      <c r="C291" t="s">
        <v>1952</v>
      </c>
      <c r="D291">
        <v>23</v>
      </c>
      <c r="E291" t="s">
        <v>1447</v>
      </c>
      <c r="F291" t="s">
        <v>1958</v>
      </c>
      <c r="G291" t="s">
        <v>1892</v>
      </c>
      <c r="H291" t="s">
        <v>1799</v>
      </c>
      <c r="I291" t="s">
        <v>1799</v>
      </c>
      <c r="J291">
        <v>87074.9920000001</v>
      </c>
      <c r="K291" t="s">
        <v>1799</v>
      </c>
      <c r="L291" t="s">
        <v>1799</v>
      </c>
      <c r="M291" t="s">
        <v>1799</v>
      </c>
      <c r="N291" t="s">
        <v>1799</v>
      </c>
      <c r="O291" s="184" t="str">
        <f>"["&amp;$C291&amp;"]["&amp;$D291&amp;"]["&amp;$F291&amp;"]"</f>
        <v>[S05_AggregateTotalEmissionsByCRF][23][TotalProcessEmissionsTCo2e]</v>
      </c>
    </row>
    <row r="292" spans="1:15" x14ac:dyDescent="0.3">
      <c r="A292" t="s">
        <v>1793</v>
      </c>
      <c r="B292" t="s">
        <v>1949</v>
      </c>
      <c r="C292" t="s">
        <v>1952</v>
      </c>
      <c r="D292">
        <v>24</v>
      </c>
      <c r="E292" t="s">
        <v>1447</v>
      </c>
      <c r="F292" t="s">
        <v>1958</v>
      </c>
      <c r="G292" t="s">
        <v>1892</v>
      </c>
      <c r="H292" t="s">
        <v>1799</v>
      </c>
      <c r="I292" t="s">
        <v>1799</v>
      </c>
      <c r="J292">
        <v>-1182769.666</v>
      </c>
      <c r="K292" t="s">
        <v>1799</v>
      </c>
      <c r="L292" t="s">
        <v>1799</v>
      </c>
      <c r="M292" t="s">
        <v>1799</v>
      </c>
      <c r="N292" t="s">
        <v>1799</v>
      </c>
      <c r="O292" s="184" t="str">
        <f>"["&amp;$C292&amp;"]["&amp;$D292&amp;"]["&amp;$F292&amp;"]"</f>
        <v>[S05_AggregateTotalEmissionsByCRF][24][TotalProcessEmissionsTCo2e]</v>
      </c>
    </row>
    <row r="293" spans="1:15" x14ac:dyDescent="0.3">
      <c r="A293" t="s">
        <v>1793</v>
      </c>
      <c r="B293" t="s">
        <v>1949</v>
      </c>
      <c r="C293" t="s">
        <v>1952</v>
      </c>
      <c r="D293">
        <v>25</v>
      </c>
      <c r="E293" t="s">
        <v>1447</v>
      </c>
      <c r="F293" t="s">
        <v>1958</v>
      </c>
      <c r="G293" t="s">
        <v>1892</v>
      </c>
      <c r="H293" t="s">
        <v>1799</v>
      </c>
      <c r="I293" t="s">
        <v>1799</v>
      </c>
      <c r="J293">
        <v>20559.458999999901</v>
      </c>
      <c r="K293" t="s">
        <v>1799</v>
      </c>
      <c r="L293" t="s">
        <v>1799</v>
      </c>
      <c r="M293" t="s">
        <v>1799</v>
      </c>
      <c r="N293" t="s">
        <v>1799</v>
      </c>
      <c r="O293" s="184" t="str">
        <f>"["&amp;$C293&amp;"]["&amp;$D293&amp;"]["&amp;$F293&amp;"]"</f>
        <v>[S05_AggregateTotalEmissionsByCRF][25][TotalProcessEmissionsTCo2e]</v>
      </c>
    </row>
    <row r="294" spans="1:15" x14ac:dyDescent="0.3">
      <c r="A294" t="s">
        <v>1793</v>
      </c>
      <c r="B294" t="s">
        <v>1949</v>
      </c>
      <c r="C294" t="s">
        <v>1952</v>
      </c>
      <c r="D294">
        <v>26</v>
      </c>
      <c r="E294" t="s">
        <v>1447</v>
      </c>
      <c r="F294" t="s">
        <v>1958</v>
      </c>
      <c r="G294" t="s">
        <v>1892</v>
      </c>
      <c r="H294" t="s">
        <v>1799</v>
      </c>
      <c r="I294" t="s">
        <v>1799</v>
      </c>
      <c r="J294">
        <v>25737194.684</v>
      </c>
      <c r="K294" t="s">
        <v>1799</v>
      </c>
      <c r="L294" t="s">
        <v>1799</v>
      </c>
      <c r="M294" t="s">
        <v>1799</v>
      </c>
      <c r="N294" t="s">
        <v>1799</v>
      </c>
      <c r="O294" s="184" t="str">
        <f>"["&amp;$C294&amp;"]["&amp;$D294&amp;"]["&amp;$F294&amp;"]"</f>
        <v>[S05_AggregateTotalEmissionsByCRF][26][TotalProcessEmissionsTCo2e]</v>
      </c>
    </row>
    <row r="295" spans="1:15" x14ac:dyDescent="0.3">
      <c r="A295" t="s">
        <v>1793</v>
      </c>
      <c r="B295" t="s">
        <v>1949</v>
      </c>
      <c r="C295" t="s">
        <v>1952</v>
      </c>
      <c r="D295">
        <v>27</v>
      </c>
      <c r="E295" t="s">
        <v>1447</v>
      </c>
      <c r="F295" t="s">
        <v>1958</v>
      </c>
      <c r="G295" t="s">
        <v>1892</v>
      </c>
      <c r="H295" t="s">
        <v>1799</v>
      </c>
      <c r="I295" t="s">
        <v>1799</v>
      </c>
      <c r="J295">
        <v>929580.70900000003</v>
      </c>
      <c r="K295" t="s">
        <v>1799</v>
      </c>
      <c r="L295" t="s">
        <v>1799</v>
      </c>
      <c r="M295" t="s">
        <v>1799</v>
      </c>
      <c r="N295" t="s">
        <v>1799</v>
      </c>
      <c r="O295" s="184" t="str">
        <f>"["&amp;$C295&amp;"]["&amp;$D295&amp;"]["&amp;$F295&amp;"]"</f>
        <v>[S05_AggregateTotalEmissionsByCRF][27][TotalProcessEmissionsTCo2e]</v>
      </c>
    </row>
    <row r="296" spans="1:15" x14ac:dyDescent="0.3">
      <c r="A296" t="s">
        <v>1793</v>
      </c>
      <c r="B296" t="s">
        <v>1949</v>
      </c>
      <c r="C296" t="s">
        <v>1952</v>
      </c>
      <c r="D296">
        <v>28</v>
      </c>
      <c r="E296" t="s">
        <v>1447</v>
      </c>
      <c r="F296" t="s">
        <v>1958</v>
      </c>
      <c r="G296" t="s">
        <v>1892</v>
      </c>
      <c r="H296" t="s">
        <v>1799</v>
      </c>
      <c r="I296" t="s">
        <v>1799</v>
      </c>
      <c r="J296">
        <v>121.97799999999999</v>
      </c>
      <c r="K296" t="s">
        <v>1799</v>
      </c>
      <c r="L296" t="s">
        <v>1799</v>
      </c>
      <c r="M296" t="s">
        <v>1799</v>
      </c>
      <c r="N296" t="s">
        <v>1799</v>
      </c>
      <c r="O296" s="184" t="str">
        <f>"["&amp;$C296&amp;"]["&amp;$D296&amp;"]["&amp;$F296&amp;"]"</f>
        <v>[S05_AggregateTotalEmissionsByCRF][28][TotalProcessEmissionsTCo2e]</v>
      </c>
    </row>
    <row r="297" spans="1:15" x14ac:dyDescent="0.3">
      <c r="A297" t="s">
        <v>1793</v>
      </c>
      <c r="B297" t="s">
        <v>1949</v>
      </c>
      <c r="C297" t="s">
        <v>1952</v>
      </c>
      <c r="D297">
        <v>29</v>
      </c>
      <c r="E297" t="s">
        <v>1447</v>
      </c>
      <c r="F297" t="s">
        <v>1958</v>
      </c>
      <c r="G297" t="s">
        <v>1892</v>
      </c>
      <c r="H297" t="s">
        <v>1799</v>
      </c>
      <c r="I297" t="s">
        <v>1799</v>
      </c>
      <c r="J297">
        <v>43333.845000000001</v>
      </c>
      <c r="K297" t="s">
        <v>1799</v>
      </c>
      <c r="L297" t="s">
        <v>1799</v>
      </c>
      <c r="M297" t="s">
        <v>1799</v>
      </c>
      <c r="N297" t="s">
        <v>1799</v>
      </c>
      <c r="O297" s="184" t="str">
        <f>"["&amp;$C297&amp;"]["&amp;$D297&amp;"]["&amp;$F297&amp;"]"</f>
        <v>[S05_AggregateTotalEmissionsByCRF][29][TotalProcessEmissionsTCo2e]</v>
      </c>
    </row>
    <row r="298" spans="1:15" x14ac:dyDescent="0.3">
      <c r="A298" t="s">
        <v>1793</v>
      </c>
      <c r="B298" t="s">
        <v>1949</v>
      </c>
      <c r="C298" t="s">
        <v>1952</v>
      </c>
      <c r="D298">
        <v>30</v>
      </c>
      <c r="E298" t="s">
        <v>1447</v>
      </c>
      <c r="F298" t="s">
        <v>1958</v>
      </c>
      <c r="G298" t="s">
        <v>1892</v>
      </c>
      <c r="H298" t="s">
        <v>1799</v>
      </c>
      <c r="I298" t="s">
        <v>1799</v>
      </c>
      <c r="J298">
        <v>322457.67099999997</v>
      </c>
      <c r="K298" t="s">
        <v>1799</v>
      </c>
      <c r="L298" t="s">
        <v>1799</v>
      </c>
      <c r="M298" t="s">
        <v>1799</v>
      </c>
      <c r="N298" t="s">
        <v>1799</v>
      </c>
      <c r="O298" s="184" t="str">
        <f>"["&amp;$C298&amp;"]["&amp;$D298&amp;"]["&amp;$F298&amp;"]"</f>
        <v>[S05_AggregateTotalEmissionsByCRF][30][TotalProcessEmissionsTCo2e]</v>
      </c>
    </row>
    <row r="299" spans="1:15" x14ac:dyDescent="0.3">
      <c r="A299" t="s">
        <v>1793</v>
      </c>
      <c r="B299" t="s">
        <v>1949</v>
      </c>
      <c r="C299" t="s">
        <v>1952</v>
      </c>
      <c r="D299">
        <v>31</v>
      </c>
      <c r="E299" t="s">
        <v>1447</v>
      </c>
      <c r="F299" t="s">
        <v>1958</v>
      </c>
      <c r="G299" t="s">
        <v>1892</v>
      </c>
      <c r="H299" t="s">
        <v>1799</v>
      </c>
      <c r="I299" t="s">
        <v>1799</v>
      </c>
      <c r="J299">
        <v>151181.00599999999</v>
      </c>
      <c r="K299" t="s">
        <v>1799</v>
      </c>
      <c r="L299" t="s">
        <v>1799</v>
      </c>
      <c r="M299" t="s">
        <v>1799</v>
      </c>
      <c r="N299" t="s">
        <v>1799</v>
      </c>
      <c r="O299" s="184" t="str">
        <f>"["&amp;$C299&amp;"]["&amp;$D299&amp;"]["&amp;$F299&amp;"]"</f>
        <v>[S05_AggregateTotalEmissionsByCRF][31][TotalProcessEmissionsTCo2e]</v>
      </c>
    </row>
    <row r="300" spans="1:15" x14ac:dyDescent="0.3">
      <c r="A300" t="s">
        <v>1793</v>
      </c>
      <c r="B300" t="s">
        <v>1950</v>
      </c>
      <c r="C300" t="s">
        <v>1959</v>
      </c>
      <c r="D300">
        <v>1</v>
      </c>
      <c r="E300" t="s">
        <v>1447</v>
      </c>
      <c r="F300" t="s">
        <v>1960</v>
      </c>
      <c r="G300" t="s">
        <v>1737</v>
      </c>
      <c r="H300" t="s">
        <v>1799</v>
      </c>
      <c r="I300" t="s">
        <v>1799</v>
      </c>
      <c r="J300" t="s">
        <v>1799</v>
      </c>
      <c r="K300" t="s">
        <v>1799</v>
      </c>
      <c r="L300" t="s">
        <v>1505</v>
      </c>
      <c r="M300" t="s">
        <v>1799</v>
      </c>
      <c r="N300" t="s">
        <v>1799</v>
      </c>
      <c r="O300" s="184" t="str">
        <f>"["&amp;$C300&amp;"]["&amp;$D300&amp;"]["&amp;$F300&amp;"]"</f>
        <v>[S05_DefaultValues][1][InstallationCategory]</v>
      </c>
    </row>
    <row r="301" spans="1:15" x14ac:dyDescent="0.3">
      <c r="A301" t="s">
        <v>1793</v>
      </c>
      <c r="B301" t="s">
        <v>1950</v>
      </c>
      <c r="C301" t="s">
        <v>1959</v>
      </c>
      <c r="D301">
        <v>2</v>
      </c>
      <c r="E301" t="s">
        <v>1447</v>
      </c>
      <c r="F301" t="s">
        <v>1960</v>
      </c>
      <c r="G301" t="s">
        <v>1737</v>
      </c>
      <c r="H301" t="s">
        <v>1799</v>
      </c>
      <c r="I301" t="s">
        <v>1799</v>
      </c>
      <c r="J301" t="s">
        <v>1799</v>
      </c>
      <c r="K301" t="s">
        <v>1799</v>
      </c>
      <c r="L301" t="s">
        <v>1505</v>
      </c>
      <c r="M301" t="s">
        <v>1799</v>
      </c>
      <c r="N301" t="s">
        <v>1799</v>
      </c>
      <c r="O301" s="184" t="str">
        <f>"["&amp;$C301&amp;"]["&amp;$D301&amp;"]["&amp;$F301&amp;"]"</f>
        <v>[S05_DefaultValues][2][InstallationCategory]</v>
      </c>
    </row>
    <row r="302" spans="1:15" x14ac:dyDescent="0.3">
      <c r="A302" t="s">
        <v>1793</v>
      </c>
      <c r="B302" t="s">
        <v>1950</v>
      </c>
      <c r="C302" t="s">
        <v>1959</v>
      </c>
      <c r="D302">
        <v>3</v>
      </c>
      <c r="E302" t="s">
        <v>1447</v>
      </c>
      <c r="F302" t="s">
        <v>1960</v>
      </c>
      <c r="G302" t="s">
        <v>1737</v>
      </c>
      <c r="H302" t="s">
        <v>1799</v>
      </c>
      <c r="I302" t="s">
        <v>1799</v>
      </c>
      <c r="J302" t="s">
        <v>1799</v>
      </c>
      <c r="K302" t="s">
        <v>1799</v>
      </c>
      <c r="L302" t="s">
        <v>1505</v>
      </c>
      <c r="M302" t="s">
        <v>1799</v>
      </c>
      <c r="N302" t="s">
        <v>1799</v>
      </c>
      <c r="O302" s="184" t="str">
        <f>"["&amp;$C302&amp;"]["&amp;$D302&amp;"]["&amp;$F302&amp;"]"</f>
        <v>[S05_DefaultValues][3][InstallationCategory]</v>
      </c>
    </row>
    <row r="303" spans="1:15" x14ac:dyDescent="0.3">
      <c r="A303" t="s">
        <v>1793</v>
      </c>
      <c r="B303" t="s">
        <v>1950</v>
      </c>
      <c r="C303" t="s">
        <v>1959</v>
      </c>
      <c r="D303">
        <v>4</v>
      </c>
      <c r="E303" t="s">
        <v>1447</v>
      </c>
      <c r="F303" t="s">
        <v>1960</v>
      </c>
      <c r="G303" t="s">
        <v>1737</v>
      </c>
      <c r="H303" t="s">
        <v>1799</v>
      </c>
      <c r="I303" t="s">
        <v>1799</v>
      </c>
      <c r="J303" t="s">
        <v>1799</v>
      </c>
      <c r="K303" t="s">
        <v>1799</v>
      </c>
      <c r="L303" t="s">
        <v>1505</v>
      </c>
      <c r="M303" t="s">
        <v>1799</v>
      </c>
      <c r="N303" t="s">
        <v>1799</v>
      </c>
      <c r="O303" s="184" t="str">
        <f>"["&amp;$C303&amp;"]["&amp;$D303&amp;"]["&amp;$F303&amp;"]"</f>
        <v>[S05_DefaultValues][4][InstallationCategory]</v>
      </c>
    </row>
    <row r="304" spans="1:15" x14ac:dyDescent="0.3">
      <c r="A304" t="s">
        <v>1793</v>
      </c>
      <c r="B304" t="s">
        <v>1950</v>
      </c>
      <c r="C304" t="s">
        <v>1959</v>
      </c>
      <c r="D304">
        <v>5</v>
      </c>
      <c r="E304" t="s">
        <v>1447</v>
      </c>
      <c r="F304" t="s">
        <v>1960</v>
      </c>
      <c r="G304" t="s">
        <v>1737</v>
      </c>
      <c r="H304" t="s">
        <v>1799</v>
      </c>
      <c r="I304" t="s">
        <v>1799</v>
      </c>
      <c r="J304" t="s">
        <v>1799</v>
      </c>
      <c r="K304" t="s">
        <v>1799</v>
      </c>
      <c r="L304" t="s">
        <v>1505</v>
      </c>
      <c r="M304" t="s">
        <v>1799</v>
      </c>
      <c r="N304" t="s">
        <v>1799</v>
      </c>
      <c r="O304" s="184" t="str">
        <f>"["&amp;$C304&amp;"]["&amp;$D304&amp;"]["&amp;$F304&amp;"]"</f>
        <v>[S05_DefaultValues][5][InstallationCategory]</v>
      </c>
    </row>
    <row r="305" spans="1:15" x14ac:dyDescent="0.3">
      <c r="A305" t="s">
        <v>1793</v>
      </c>
      <c r="B305" t="s">
        <v>1950</v>
      </c>
      <c r="C305" t="s">
        <v>1959</v>
      </c>
      <c r="D305">
        <v>6</v>
      </c>
      <c r="E305" t="s">
        <v>1447</v>
      </c>
      <c r="F305" t="s">
        <v>1960</v>
      </c>
      <c r="G305" t="s">
        <v>1737</v>
      </c>
      <c r="H305" t="s">
        <v>1799</v>
      </c>
      <c r="I305" t="s">
        <v>1799</v>
      </c>
      <c r="J305" t="s">
        <v>1799</v>
      </c>
      <c r="K305" t="s">
        <v>1799</v>
      </c>
      <c r="L305" t="s">
        <v>1505</v>
      </c>
      <c r="M305" t="s">
        <v>1799</v>
      </c>
      <c r="N305" t="s">
        <v>1799</v>
      </c>
      <c r="O305" s="184" t="str">
        <f>"["&amp;$C305&amp;"]["&amp;$D305&amp;"]["&amp;$F305&amp;"]"</f>
        <v>[S05_DefaultValues][6][InstallationCategory]</v>
      </c>
    </row>
    <row r="306" spans="1:15" x14ac:dyDescent="0.3">
      <c r="A306" t="s">
        <v>1793</v>
      </c>
      <c r="B306" t="s">
        <v>1950</v>
      </c>
      <c r="C306" t="s">
        <v>1959</v>
      </c>
      <c r="D306">
        <v>7</v>
      </c>
      <c r="E306" t="s">
        <v>1447</v>
      </c>
      <c r="F306" t="s">
        <v>1960</v>
      </c>
      <c r="G306" t="s">
        <v>1737</v>
      </c>
      <c r="H306" t="s">
        <v>1799</v>
      </c>
      <c r="I306" t="s">
        <v>1799</v>
      </c>
      <c r="J306" t="s">
        <v>1799</v>
      </c>
      <c r="K306" t="s">
        <v>1799</v>
      </c>
      <c r="L306" t="s">
        <v>1505</v>
      </c>
      <c r="M306" t="s">
        <v>1799</v>
      </c>
      <c r="N306" t="s">
        <v>1799</v>
      </c>
      <c r="O306" s="184" t="str">
        <f>"["&amp;$C306&amp;"]["&amp;$D306&amp;"]["&amp;$F306&amp;"]"</f>
        <v>[S05_DefaultValues][7][InstallationCategory]</v>
      </c>
    </row>
    <row r="307" spans="1:15" x14ac:dyDescent="0.3">
      <c r="A307" t="s">
        <v>1793</v>
      </c>
      <c r="B307" t="s">
        <v>1950</v>
      </c>
      <c r="C307" t="s">
        <v>1959</v>
      </c>
      <c r="D307">
        <v>8</v>
      </c>
      <c r="E307" t="s">
        <v>1447</v>
      </c>
      <c r="F307" t="s">
        <v>1960</v>
      </c>
      <c r="G307" t="s">
        <v>1737</v>
      </c>
      <c r="H307" t="s">
        <v>1799</v>
      </c>
      <c r="I307" t="s">
        <v>1799</v>
      </c>
      <c r="J307" t="s">
        <v>1799</v>
      </c>
      <c r="K307" t="s">
        <v>1799</v>
      </c>
      <c r="L307" t="s">
        <v>1505</v>
      </c>
      <c r="M307" t="s">
        <v>1799</v>
      </c>
      <c r="N307" t="s">
        <v>1799</v>
      </c>
      <c r="O307" s="184" t="str">
        <f>"["&amp;$C307&amp;"]["&amp;$D307&amp;"]["&amp;$F307&amp;"]"</f>
        <v>[S05_DefaultValues][8][InstallationCategory]</v>
      </c>
    </row>
    <row r="308" spans="1:15" x14ac:dyDescent="0.3">
      <c r="A308" t="s">
        <v>1793</v>
      </c>
      <c r="B308" t="s">
        <v>1950</v>
      </c>
      <c r="C308" t="s">
        <v>1959</v>
      </c>
      <c r="D308">
        <v>9</v>
      </c>
      <c r="E308" t="s">
        <v>1447</v>
      </c>
      <c r="F308" t="s">
        <v>1960</v>
      </c>
      <c r="G308" t="s">
        <v>1737</v>
      </c>
      <c r="H308" t="s">
        <v>1799</v>
      </c>
      <c r="I308" t="s">
        <v>1799</v>
      </c>
      <c r="J308" t="s">
        <v>1799</v>
      </c>
      <c r="K308" t="s">
        <v>1799</v>
      </c>
      <c r="L308" t="s">
        <v>1505</v>
      </c>
      <c r="M308" t="s">
        <v>1799</v>
      </c>
      <c r="N308" t="s">
        <v>1799</v>
      </c>
      <c r="O308" s="184" t="str">
        <f>"["&amp;$C308&amp;"]["&amp;$D308&amp;"]["&amp;$F308&amp;"]"</f>
        <v>[S05_DefaultValues][9][InstallationCategory]</v>
      </c>
    </row>
    <row r="309" spans="1:15" x14ac:dyDescent="0.3">
      <c r="A309" t="s">
        <v>1793</v>
      </c>
      <c r="B309" t="s">
        <v>1950</v>
      </c>
      <c r="C309" t="s">
        <v>1959</v>
      </c>
      <c r="D309">
        <v>10</v>
      </c>
      <c r="E309" t="s">
        <v>1447</v>
      </c>
      <c r="F309" t="s">
        <v>1960</v>
      </c>
      <c r="G309" t="s">
        <v>1737</v>
      </c>
      <c r="H309" t="s">
        <v>1799</v>
      </c>
      <c r="I309" t="s">
        <v>1799</v>
      </c>
      <c r="J309" t="s">
        <v>1799</v>
      </c>
      <c r="K309" t="s">
        <v>1799</v>
      </c>
      <c r="L309" t="s">
        <v>1505</v>
      </c>
      <c r="M309" t="s">
        <v>1799</v>
      </c>
      <c r="N309" t="s">
        <v>1799</v>
      </c>
      <c r="O309" s="184" t="str">
        <f>"["&amp;$C309&amp;"]["&amp;$D309&amp;"]["&amp;$F309&amp;"]"</f>
        <v>[S05_DefaultValues][10][InstallationCategory]</v>
      </c>
    </row>
    <row r="310" spans="1:15" x14ac:dyDescent="0.3">
      <c r="A310" t="s">
        <v>1793</v>
      </c>
      <c r="B310" t="s">
        <v>1950</v>
      </c>
      <c r="C310" t="s">
        <v>1959</v>
      </c>
      <c r="D310">
        <v>11</v>
      </c>
      <c r="E310" t="s">
        <v>1447</v>
      </c>
      <c r="F310" t="s">
        <v>1960</v>
      </c>
      <c r="G310" t="s">
        <v>1737</v>
      </c>
      <c r="H310" t="s">
        <v>1799</v>
      </c>
      <c r="I310" t="s">
        <v>1799</v>
      </c>
      <c r="J310" t="s">
        <v>1799</v>
      </c>
      <c r="K310" t="s">
        <v>1799</v>
      </c>
      <c r="L310" t="s">
        <v>1505</v>
      </c>
      <c r="M310" t="s">
        <v>1799</v>
      </c>
      <c r="N310" t="s">
        <v>1799</v>
      </c>
      <c r="O310" s="184" t="str">
        <f>"["&amp;$C310&amp;"]["&amp;$D310&amp;"]["&amp;$F310&amp;"]"</f>
        <v>[S05_DefaultValues][11][InstallationCategory]</v>
      </c>
    </row>
    <row r="311" spans="1:15" x14ac:dyDescent="0.3">
      <c r="A311" t="s">
        <v>1793</v>
      </c>
      <c r="B311" t="s">
        <v>1950</v>
      </c>
      <c r="C311" t="s">
        <v>1959</v>
      </c>
      <c r="D311">
        <v>12</v>
      </c>
      <c r="E311" t="s">
        <v>1447</v>
      </c>
      <c r="F311" t="s">
        <v>1960</v>
      </c>
      <c r="G311" t="s">
        <v>1737</v>
      </c>
      <c r="H311" t="s">
        <v>1799</v>
      </c>
      <c r="I311" t="s">
        <v>1799</v>
      </c>
      <c r="J311" t="s">
        <v>1799</v>
      </c>
      <c r="K311" t="s">
        <v>1799</v>
      </c>
      <c r="L311" t="s">
        <v>1505</v>
      </c>
      <c r="M311" t="s">
        <v>1799</v>
      </c>
      <c r="N311" t="s">
        <v>1799</v>
      </c>
      <c r="O311" s="184" t="str">
        <f>"["&amp;$C311&amp;"]["&amp;$D311&amp;"]["&amp;$F311&amp;"]"</f>
        <v>[S05_DefaultValues][12][InstallationCategory]</v>
      </c>
    </row>
    <row r="312" spans="1:15" x14ac:dyDescent="0.3">
      <c r="A312" t="s">
        <v>1793</v>
      </c>
      <c r="B312" t="s">
        <v>1950</v>
      </c>
      <c r="C312" t="s">
        <v>1959</v>
      </c>
      <c r="D312">
        <v>13</v>
      </c>
      <c r="E312" t="s">
        <v>1447</v>
      </c>
      <c r="F312" t="s">
        <v>1960</v>
      </c>
      <c r="G312" t="s">
        <v>1737</v>
      </c>
      <c r="H312" t="s">
        <v>1799</v>
      </c>
      <c r="I312" t="s">
        <v>1799</v>
      </c>
      <c r="J312" t="s">
        <v>1799</v>
      </c>
      <c r="K312" t="s">
        <v>1799</v>
      </c>
      <c r="L312" t="s">
        <v>1505</v>
      </c>
      <c r="M312" t="s">
        <v>1799</v>
      </c>
      <c r="N312" t="s">
        <v>1799</v>
      </c>
      <c r="O312" s="184" t="str">
        <f>"["&amp;$C312&amp;"]["&amp;$D312&amp;"]["&amp;$F312&amp;"]"</f>
        <v>[S05_DefaultValues][13][InstallationCategory]</v>
      </c>
    </row>
    <row r="313" spans="1:15" x14ac:dyDescent="0.3">
      <c r="A313" t="s">
        <v>1793</v>
      </c>
      <c r="B313" t="s">
        <v>1950</v>
      </c>
      <c r="C313" t="s">
        <v>1959</v>
      </c>
      <c r="D313">
        <v>14</v>
      </c>
      <c r="E313" t="s">
        <v>1447</v>
      </c>
      <c r="F313" t="s">
        <v>1960</v>
      </c>
      <c r="G313" t="s">
        <v>1737</v>
      </c>
      <c r="H313" t="s">
        <v>1799</v>
      </c>
      <c r="I313" t="s">
        <v>1799</v>
      </c>
      <c r="J313" t="s">
        <v>1799</v>
      </c>
      <c r="K313" t="s">
        <v>1799</v>
      </c>
      <c r="L313" t="s">
        <v>1505</v>
      </c>
      <c r="M313" t="s">
        <v>1799</v>
      </c>
      <c r="N313" t="s">
        <v>1799</v>
      </c>
      <c r="O313" s="184" t="str">
        <f>"["&amp;$C313&amp;"]["&amp;$D313&amp;"]["&amp;$F313&amp;"]"</f>
        <v>[S05_DefaultValues][14][InstallationCategory]</v>
      </c>
    </row>
    <row r="314" spans="1:15" x14ac:dyDescent="0.3">
      <c r="A314" t="s">
        <v>1793</v>
      </c>
      <c r="B314" t="s">
        <v>1950</v>
      </c>
      <c r="C314" t="s">
        <v>1959</v>
      </c>
      <c r="D314">
        <v>15</v>
      </c>
      <c r="E314" t="s">
        <v>1447</v>
      </c>
      <c r="F314" t="s">
        <v>1960</v>
      </c>
      <c r="G314" t="s">
        <v>1737</v>
      </c>
      <c r="H314" t="s">
        <v>1799</v>
      </c>
      <c r="I314" t="s">
        <v>1799</v>
      </c>
      <c r="J314" t="s">
        <v>1799</v>
      </c>
      <c r="K314" t="s">
        <v>1799</v>
      </c>
      <c r="L314" t="s">
        <v>1505</v>
      </c>
      <c r="M314" t="s">
        <v>1799</v>
      </c>
      <c r="N314" t="s">
        <v>1799</v>
      </c>
      <c r="O314" s="184" t="str">
        <f>"["&amp;$C314&amp;"]["&amp;$D314&amp;"]["&amp;$F314&amp;"]"</f>
        <v>[S05_DefaultValues][15][InstallationCategory]</v>
      </c>
    </row>
    <row r="315" spans="1:15" x14ac:dyDescent="0.3">
      <c r="A315" t="s">
        <v>1793</v>
      </c>
      <c r="B315" t="s">
        <v>1950</v>
      </c>
      <c r="C315" t="s">
        <v>1959</v>
      </c>
      <c r="D315">
        <v>16</v>
      </c>
      <c r="E315" t="s">
        <v>1447</v>
      </c>
      <c r="F315" t="s">
        <v>1960</v>
      </c>
      <c r="G315" t="s">
        <v>1737</v>
      </c>
      <c r="H315" t="s">
        <v>1799</v>
      </c>
      <c r="I315" t="s">
        <v>1799</v>
      </c>
      <c r="J315" t="s">
        <v>1799</v>
      </c>
      <c r="K315" t="s">
        <v>1799</v>
      </c>
      <c r="L315" t="s">
        <v>1505</v>
      </c>
      <c r="M315" t="s">
        <v>1799</v>
      </c>
      <c r="N315" t="s">
        <v>1799</v>
      </c>
      <c r="O315" s="184" t="str">
        <f>"["&amp;$C315&amp;"]["&amp;$D315&amp;"]["&amp;$F315&amp;"]"</f>
        <v>[S05_DefaultValues][16][InstallationCategory]</v>
      </c>
    </row>
    <row r="316" spans="1:15" x14ac:dyDescent="0.3">
      <c r="A316" t="s">
        <v>1793</v>
      </c>
      <c r="B316" t="s">
        <v>1950</v>
      </c>
      <c r="C316" t="s">
        <v>1959</v>
      </c>
      <c r="D316">
        <v>17</v>
      </c>
      <c r="E316" t="s">
        <v>1447</v>
      </c>
      <c r="F316" t="s">
        <v>1960</v>
      </c>
      <c r="G316" t="s">
        <v>1737</v>
      </c>
      <c r="H316" t="s">
        <v>1799</v>
      </c>
      <c r="I316" t="s">
        <v>1799</v>
      </c>
      <c r="J316" t="s">
        <v>1799</v>
      </c>
      <c r="K316" t="s">
        <v>1799</v>
      </c>
      <c r="L316" t="s">
        <v>1505</v>
      </c>
      <c r="M316" t="s">
        <v>1799</v>
      </c>
      <c r="N316" t="s">
        <v>1799</v>
      </c>
      <c r="O316" s="184" t="str">
        <f>"["&amp;$C316&amp;"]["&amp;$D316&amp;"]["&amp;$F316&amp;"]"</f>
        <v>[S05_DefaultValues][17][InstallationCategory]</v>
      </c>
    </row>
    <row r="317" spans="1:15" x14ac:dyDescent="0.3">
      <c r="A317" t="s">
        <v>1793</v>
      </c>
      <c r="B317" t="s">
        <v>1950</v>
      </c>
      <c r="C317" t="s">
        <v>1959</v>
      </c>
      <c r="D317">
        <v>18</v>
      </c>
      <c r="E317" t="s">
        <v>1447</v>
      </c>
      <c r="F317" t="s">
        <v>1960</v>
      </c>
      <c r="G317" t="s">
        <v>1737</v>
      </c>
      <c r="H317" t="s">
        <v>1799</v>
      </c>
      <c r="I317" t="s">
        <v>1799</v>
      </c>
      <c r="J317" t="s">
        <v>1799</v>
      </c>
      <c r="K317" t="s">
        <v>1799</v>
      </c>
      <c r="L317" t="s">
        <v>1505</v>
      </c>
      <c r="M317" t="s">
        <v>1799</v>
      </c>
      <c r="N317" t="s">
        <v>1799</v>
      </c>
      <c r="O317" s="184" t="str">
        <f>"["&amp;$C317&amp;"]["&amp;$D317&amp;"]["&amp;$F317&amp;"]"</f>
        <v>[S05_DefaultValues][18][InstallationCategory]</v>
      </c>
    </row>
    <row r="318" spans="1:15" x14ac:dyDescent="0.3">
      <c r="A318" t="s">
        <v>1793</v>
      </c>
      <c r="B318" t="s">
        <v>1950</v>
      </c>
      <c r="C318" t="s">
        <v>1959</v>
      </c>
      <c r="D318">
        <v>19</v>
      </c>
      <c r="E318" t="s">
        <v>1447</v>
      </c>
      <c r="F318" t="s">
        <v>1960</v>
      </c>
      <c r="G318" t="s">
        <v>1737</v>
      </c>
      <c r="H318" t="s">
        <v>1799</v>
      </c>
      <c r="I318" t="s">
        <v>1799</v>
      </c>
      <c r="J318" t="s">
        <v>1799</v>
      </c>
      <c r="K318" t="s">
        <v>1799</v>
      </c>
      <c r="L318" t="s">
        <v>1505</v>
      </c>
      <c r="M318" t="s">
        <v>1799</v>
      </c>
      <c r="N318" t="s">
        <v>1799</v>
      </c>
      <c r="O318" s="184" t="str">
        <f>"["&amp;$C318&amp;"]["&amp;$D318&amp;"]["&amp;$F318&amp;"]"</f>
        <v>[S05_DefaultValues][19][InstallationCategory]</v>
      </c>
    </row>
    <row r="319" spans="1:15" x14ac:dyDescent="0.3">
      <c r="A319" t="s">
        <v>1793</v>
      </c>
      <c r="B319" t="s">
        <v>1950</v>
      </c>
      <c r="C319" t="s">
        <v>1959</v>
      </c>
      <c r="D319">
        <v>20</v>
      </c>
      <c r="E319" t="s">
        <v>1447</v>
      </c>
      <c r="F319" t="s">
        <v>1960</v>
      </c>
      <c r="G319" t="s">
        <v>1737</v>
      </c>
      <c r="H319" t="s">
        <v>1799</v>
      </c>
      <c r="I319" t="s">
        <v>1799</v>
      </c>
      <c r="J319" t="s">
        <v>1799</v>
      </c>
      <c r="K319" t="s">
        <v>1799</v>
      </c>
      <c r="L319" t="s">
        <v>1505</v>
      </c>
      <c r="M319" t="s">
        <v>1799</v>
      </c>
      <c r="N319" t="s">
        <v>1799</v>
      </c>
      <c r="O319" s="184" t="str">
        <f>"["&amp;$C319&amp;"]["&amp;$D319&amp;"]["&amp;$F319&amp;"]"</f>
        <v>[S05_DefaultValues][20][InstallationCategory]</v>
      </c>
    </row>
    <row r="320" spans="1:15" x14ac:dyDescent="0.3">
      <c r="A320" t="s">
        <v>1793</v>
      </c>
      <c r="B320" t="s">
        <v>1950</v>
      </c>
      <c r="C320" t="s">
        <v>1959</v>
      </c>
      <c r="D320">
        <v>21</v>
      </c>
      <c r="E320" t="s">
        <v>1447</v>
      </c>
      <c r="F320" t="s">
        <v>1960</v>
      </c>
      <c r="G320" t="s">
        <v>1737</v>
      </c>
      <c r="H320" t="s">
        <v>1799</v>
      </c>
      <c r="I320" t="s">
        <v>1799</v>
      </c>
      <c r="J320" t="s">
        <v>1799</v>
      </c>
      <c r="K320" t="s">
        <v>1799</v>
      </c>
      <c r="L320" t="s">
        <v>1505</v>
      </c>
      <c r="M320" t="s">
        <v>1799</v>
      </c>
      <c r="N320" t="s">
        <v>1799</v>
      </c>
      <c r="O320" s="184" t="str">
        <f>"["&amp;$C320&amp;"]["&amp;$D320&amp;"]["&amp;$F320&amp;"]"</f>
        <v>[S05_DefaultValues][21][InstallationCategory]</v>
      </c>
    </row>
    <row r="321" spans="1:15" x14ac:dyDescent="0.3">
      <c r="A321" t="s">
        <v>1793</v>
      </c>
      <c r="B321" t="s">
        <v>1950</v>
      </c>
      <c r="C321" t="s">
        <v>1959</v>
      </c>
      <c r="D321">
        <v>22</v>
      </c>
      <c r="E321" t="s">
        <v>1447</v>
      </c>
      <c r="F321" t="s">
        <v>1960</v>
      </c>
      <c r="G321" t="s">
        <v>1737</v>
      </c>
      <c r="H321" t="s">
        <v>1799</v>
      </c>
      <c r="I321" t="s">
        <v>1799</v>
      </c>
      <c r="J321" t="s">
        <v>1799</v>
      </c>
      <c r="K321" t="s">
        <v>1799</v>
      </c>
      <c r="L321" t="s">
        <v>1505</v>
      </c>
      <c r="M321" t="s">
        <v>1799</v>
      </c>
      <c r="N321" t="s">
        <v>1799</v>
      </c>
      <c r="O321" s="184" t="str">
        <f>"["&amp;$C321&amp;"]["&amp;$D321&amp;"]["&amp;$F321&amp;"]"</f>
        <v>[S05_DefaultValues][22][InstallationCategory]</v>
      </c>
    </row>
    <row r="322" spans="1:15" x14ac:dyDescent="0.3">
      <c r="A322" t="s">
        <v>1793</v>
      </c>
      <c r="B322" t="s">
        <v>1950</v>
      </c>
      <c r="C322" t="s">
        <v>1959</v>
      </c>
      <c r="D322">
        <v>23</v>
      </c>
      <c r="E322" t="s">
        <v>1447</v>
      </c>
      <c r="F322" t="s">
        <v>1960</v>
      </c>
      <c r="G322" t="s">
        <v>1737</v>
      </c>
      <c r="H322" t="s">
        <v>1799</v>
      </c>
      <c r="I322" t="s">
        <v>1799</v>
      </c>
      <c r="J322" t="s">
        <v>1799</v>
      </c>
      <c r="K322" t="s">
        <v>1799</v>
      </c>
      <c r="L322" t="s">
        <v>1505</v>
      </c>
      <c r="M322" t="s">
        <v>1799</v>
      </c>
      <c r="N322" t="s">
        <v>1799</v>
      </c>
      <c r="O322" s="184" t="str">
        <f>"["&amp;$C322&amp;"]["&amp;$D322&amp;"]["&amp;$F322&amp;"]"</f>
        <v>[S05_DefaultValues][23][InstallationCategory]</v>
      </c>
    </row>
    <row r="323" spans="1:15" x14ac:dyDescent="0.3">
      <c r="A323" t="s">
        <v>1793</v>
      </c>
      <c r="B323" t="s">
        <v>1950</v>
      </c>
      <c r="C323" t="s">
        <v>1959</v>
      </c>
      <c r="D323">
        <v>24</v>
      </c>
      <c r="E323" t="s">
        <v>1447</v>
      </c>
      <c r="F323" t="s">
        <v>1960</v>
      </c>
      <c r="G323" t="s">
        <v>1737</v>
      </c>
      <c r="H323" t="s">
        <v>1799</v>
      </c>
      <c r="I323" t="s">
        <v>1799</v>
      </c>
      <c r="J323" t="s">
        <v>1799</v>
      </c>
      <c r="K323" t="s">
        <v>1799</v>
      </c>
      <c r="L323" t="s">
        <v>1505</v>
      </c>
      <c r="M323" t="s">
        <v>1799</v>
      </c>
      <c r="N323" t="s">
        <v>1799</v>
      </c>
      <c r="O323" s="184" t="str">
        <f>"["&amp;$C323&amp;"]["&amp;$D323&amp;"]["&amp;$F323&amp;"]"</f>
        <v>[S05_DefaultValues][24][InstallationCategory]</v>
      </c>
    </row>
    <row r="324" spans="1:15" x14ac:dyDescent="0.3">
      <c r="A324" t="s">
        <v>1793</v>
      </c>
      <c r="B324" t="s">
        <v>1950</v>
      </c>
      <c r="C324" t="s">
        <v>1959</v>
      </c>
      <c r="D324">
        <v>25</v>
      </c>
      <c r="E324" t="s">
        <v>1447</v>
      </c>
      <c r="F324" t="s">
        <v>1960</v>
      </c>
      <c r="G324" t="s">
        <v>1737</v>
      </c>
      <c r="H324" t="s">
        <v>1799</v>
      </c>
      <c r="I324" t="s">
        <v>1799</v>
      </c>
      <c r="J324" t="s">
        <v>1799</v>
      </c>
      <c r="K324" t="s">
        <v>1799</v>
      </c>
      <c r="L324" t="s">
        <v>1505</v>
      </c>
      <c r="M324" t="s">
        <v>1799</v>
      </c>
      <c r="N324" t="s">
        <v>1799</v>
      </c>
      <c r="O324" s="184" t="str">
        <f>"["&amp;$C324&amp;"]["&amp;$D324&amp;"]["&amp;$F324&amp;"]"</f>
        <v>[S05_DefaultValues][25][InstallationCategory]</v>
      </c>
    </row>
    <row r="325" spans="1:15" x14ac:dyDescent="0.3">
      <c r="A325" t="s">
        <v>1793</v>
      </c>
      <c r="B325" t="s">
        <v>1950</v>
      </c>
      <c r="C325" t="s">
        <v>1959</v>
      </c>
      <c r="D325">
        <v>26</v>
      </c>
      <c r="E325" t="s">
        <v>1447</v>
      </c>
      <c r="F325" t="s">
        <v>1960</v>
      </c>
      <c r="G325" t="s">
        <v>1737</v>
      </c>
      <c r="H325" t="s">
        <v>1799</v>
      </c>
      <c r="I325" t="s">
        <v>1799</v>
      </c>
      <c r="J325" t="s">
        <v>1799</v>
      </c>
      <c r="K325" t="s">
        <v>1799</v>
      </c>
      <c r="L325" t="s">
        <v>1505</v>
      </c>
      <c r="M325" t="s">
        <v>1799</v>
      </c>
      <c r="N325" t="s">
        <v>1799</v>
      </c>
      <c r="O325" s="184" t="str">
        <f>"["&amp;$C325&amp;"]["&amp;$D325&amp;"]["&amp;$F325&amp;"]"</f>
        <v>[S05_DefaultValues][26][InstallationCategory]</v>
      </c>
    </row>
    <row r="326" spans="1:15" x14ac:dyDescent="0.3">
      <c r="A326" t="s">
        <v>1793</v>
      </c>
      <c r="B326" t="s">
        <v>1950</v>
      </c>
      <c r="C326" t="s">
        <v>1959</v>
      </c>
      <c r="D326">
        <v>27</v>
      </c>
      <c r="E326" t="s">
        <v>1447</v>
      </c>
      <c r="F326" t="s">
        <v>1960</v>
      </c>
      <c r="G326" t="s">
        <v>1737</v>
      </c>
      <c r="H326" t="s">
        <v>1799</v>
      </c>
      <c r="I326" t="s">
        <v>1799</v>
      </c>
      <c r="J326" t="s">
        <v>1799</v>
      </c>
      <c r="K326" t="s">
        <v>1799</v>
      </c>
      <c r="L326" t="s">
        <v>1505</v>
      </c>
      <c r="M326" t="s">
        <v>1799</v>
      </c>
      <c r="N326" t="s">
        <v>1799</v>
      </c>
      <c r="O326" s="184" t="str">
        <f>"["&amp;$C326&amp;"]["&amp;$D326&amp;"]["&amp;$F326&amp;"]"</f>
        <v>[S05_DefaultValues][27][InstallationCategory]</v>
      </c>
    </row>
    <row r="327" spans="1:15" x14ac:dyDescent="0.3">
      <c r="A327" t="s">
        <v>1793</v>
      </c>
      <c r="B327" t="s">
        <v>1950</v>
      </c>
      <c r="C327" t="s">
        <v>1959</v>
      </c>
      <c r="D327">
        <v>28</v>
      </c>
      <c r="E327" t="s">
        <v>1447</v>
      </c>
      <c r="F327" t="s">
        <v>1960</v>
      </c>
      <c r="G327" t="s">
        <v>1737</v>
      </c>
      <c r="H327" t="s">
        <v>1799</v>
      </c>
      <c r="I327" t="s">
        <v>1799</v>
      </c>
      <c r="J327" t="s">
        <v>1799</v>
      </c>
      <c r="K327" t="s">
        <v>1799</v>
      </c>
      <c r="L327" t="s">
        <v>1505</v>
      </c>
      <c r="M327" t="s">
        <v>1799</v>
      </c>
      <c r="N327" t="s">
        <v>1799</v>
      </c>
      <c r="O327" s="184" t="str">
        <f>"["&amp;$C327&amp;"]["&amp;$D327&amp;"]["&amp;$F327&amp;"]"</f>
        <v>[S05_DefaultValues][28][InstallationCategory]</v>
      </c>
    </row>
    <row r="328" spans="1:15" x14ac:dyDescent="0.3">
      <c r="A328" t="s">
        <v>1793</v>
      </c>
      <c r="B328" t="s">
        <v>1950</v>
      </c>
      <c r="C328" t="s">
        <v>1959</v>
      </c>
      <c r="D328">
        <v>29</v>
      </c>
      <c r="E328" t="s">
        <v>1447</v>
      </c>
      <c r="F328" t="s">
        <v>1960</v>
      </c>
      <c r="G328" t="s">
        <v>1737</v>
      </c>
      <c r="H328" t="s">
        <v>1799</v>
      </c>
      <c r="I328" t="s">
        <v>1799</v>
      </c>
      <c r="J328" t="s">
        <v>1799</v>
      </c>
      <c r="K328" t="s">
        <v>1799</v>
      </c>
      <c r="L328" t="s">
        <v>1505</v>
      </c>
      <c r="M328" t="s">
        <v>1799</v>
      </c>
      <c r="N328" t="s">
        <v>1799</v>
      </c>
      <c r="O328" s="184" t="str">
        <f>"["&amp;$C328&amp;"]["&amp;$D328&amp;"]["&amp;$F328&amp;"]"</f>
        <v>[S05_DefaultValues][29][InstallationCategory]</v>
      </c>
    </row>
    <row r="329" spans="1:15" x14ac:dyDescent="0.3">
      <c r="A329" t="s">
        <v>1793</v>
      </c>
      <c r="B329" t="s">
        <v>1950</v>
      </c>
      <c r="C329" t="s">
        <v>1959</v>
      </c>
      <c r="D329">
        <v>30</v>
      </c>
      <c r="E329" t="s">
        <v>1447</v>
      </c>
      <c r="F329" t="s">
        <v>1960</v>
      </c>
      <c r="G329" t="s">
        <v>1737</v>
      </c>
      <c r="H329" t="s">
        <v>1799</v>
      </c>
      <c r="I329" t="s">
        <v>1799</v>
      </c>
      <c r="J329" t="s">
        <v>1799</v>
      </c>
      <c r="K329" t="s">
        <v>1799</v>
      </c>
      <c r="L329" t="s">
        <v>1505</v>
      </c>
      <c r="M329" t="s">
        <v>1799</v>
      </c>
      <c r="N329" t="s">
        <v>1799</v>
      </c>
      <c r="O329" s="184" t="str">
        <f>"["&amp;$C329&amp;"]["&amp;$D329&amp;"]["&amp;$F329&amp;"]"</f>
        <v>[S05_DefaultValues][30][InstallationCategory]</v>
      </c>
    </row>
    <row r="330" spans="1:15" x14ac:dyDescent="0.3">
      <c r="A330" t="s">
        <v>1793</v>
      </c>
      <c r="B330" t="s">
        <v>1950</v>
      </c>
      <c r="C330" t="s">
        <v>1959</v>
      </c>
      <c r="D330">
        <v>31</v>
      </c>
      <c r="E330" t="s">
        <v>1447</v>
      </c>
      <c r="F330" t="s">
        <v>1960</v>
      </c>
      <c r="G330" t="s">
        <v>1737</v>
      </c>
      <c r="H330" t="s">
        <v>1799</v>
      </c>
      <c r="I330" t="s">
        <v>1799</v>
      </c>
      <c r="J330" t="s">
        <v>1799</v>
      </c>
      <c r="K330" t="s">
        <v>1799</v>
      </c>
      <c r="L330" t="s">
        <v>1505</v>
      </c>
      <c r="M330" t="s">
        <v>1799</v>
      </c>
      <c r="N330" t="s">
        <v>1799</v>
      </c>
      <c r="O330" s="184" t="str">
        <f>"["&amp;$C330&amp;"]["&amp;$D330&amp;"]["&amp;$F330&amp;"]"</f>
        <v>[S05_DefaultValues][31][InstallationCategory]</v>
      </c>
    </row>
    <row r="331" spans="1:15" x14ac:dyDescent="0.3">
      <c r="A331" t="s">
        <v>1793</v>
      </c>
      <c r="B331" t="s">
        <v>1950</v>
      </c>
      <c r="C331" t="s">
        <v>1959</v>
      </c>
      <c r="D331">
        <v>32</v>
      </c>
      <c r="E331" t="s">
        <v>1447</v>
      </c>
      <c r="F331" t="s">
        <v>1960</v>
      </c>
      <c r="G331" t="s">
        <v>1737</v>
      </c>
      <c r="H331" t="s">
        <v>1799</v>
      </c>
      <c r="I331" t="s">
        <v>1799</v>
      </c>
      <c r="J331" t="s">
        <v>1799</v>
      </c>
      <c r="K331" t="s">
        <v>1799</v>
      </c>
      <c r="L331" t="s">
        <v>1505</v>
      </c>
      <c r="M331" t="s">
        <v>1799</v>
      </c>
      <c r="N331" t="s">
        <v>1799</v>
      </c>
      <c r="O331" s="184" t="str">
        <f>"["&amp;$C331&amp;"]["&amp;$D331&amp;"]["&amp;$F331&amp;"]"</f>
        <v>[S05_DefaultValues][32][InstallationCategory]</v>
      </c>
    </row>
    <row r="332" spans="1:15" x14ac:dyDescent="0.3">
      <c r="A332" t="s">
        <v>1793</v>
      </c>
      <c r="B332" t="s">
        <v>1950</v>
      </c>
      <c r="C332" t="s">
        <v>1959</v>
      </c>
      <c r="D332">
        <v>33</v>
      </c>
      <c r="E332" t="s">
        <v>1447</v>
      </c>
      <c r="F332" t="s">
        <v>1960</v>
      </c>
      <c r="G332" t="s">
        <v>1737</v>
      </c>
      <c r="H332" t="s">
        <v>1799</v>
      </c>
      <c r="I332" t="s">
        <v>1799</v>
      </c>
      <c r="J332" t="s">
        <v>1799</v>
      </c>
      <c r="K332" t="s">
        <v>1799</v>
      </c>
      <c r="L332" t="s">
        <v>1505</v>
      </c>
      <c r="M332" t="s">
        <v>1799</v>
      </c>
      <c r="N332" t="s">
        <v>1799</v>
      </c>
      <c r="O332" s="184" t="str">
        <f>"["&amp;$C332&amp;"]["&amp;$D332&amp;"]["&amp;$F332&amp;"]"</f>
        <v>[S05_DefaultValues][33][InstallationCategory]</v>
      </c>
    </row>
    <row r="333" spans="1:15" x14ac:dyDescent="0.3">
      <c r="A333" t="s">
        <v>1793</v>
      </c>
      <c r="B333" t="s">
        <v>1950</v>
      </c>
      <c r="C333" t="s">
        <v>1959</v>
      </c>
      <c r="D333">
        <v>34</v>
      </c>
      <c r="E333" t="s">
        <v>1447</v>
      </c>
      <c r="F333" t="s">
        <v>1960</v>
      </c>
      <c r="G333" t="s">
        <v>1737</v>
      </c>
      <c r="H333" t="s">
        <v>1799</v>
      </c>
      <c r="I333" t="s">
        <v>1799</v>
      </c>
      <c r="J333" t="s">
        <v>1799</v>
      </c>
      <c r="K333" t="s">
        <v>1799</v>
      </c>
      <c r="L333" t="s">
        <v>1505</v>
      </c>
      <c r="M333" t="s">
        <v>1799</v>
      </c>
      <c r="N333" t="s">
        <v>1799</v>
      </c>
      <c r="O333" s="184" t="str">
        <f>"["&amp;$C333&amp;"]["&amp;$D333&amp;"]["&amp;$F333&amp;"]"</f>
        <v>[S05_DefaultValues][34][InstallationCategory]</v>
      </c>
    </row>
    <row r="334" spans="1:15" x14ac:dyDescent="0.3">
      <c r="A334" t="s">
        <v>1793</v>
      </c>
      <c r="B334" t="s">
        <v>1950</v>
      </c>
      <c r="C334" t="s">
        <v>1959</v>
      </c>
      <c r="D334">
        <v>35</v>
      </c>
      <c r="E334" t="s">
        <v>1447</v>
      </c>
      <c r="F334" t="s">
        <v>1960</v>
      </c>
      <c r="G334" t="s">
        <v>1737</v>
      </c>
      <c r="H334" t="s">
        <v>1799</v>
      </c>
      <c r="I334" t="s">
        <v>1799</v>
      </c>
      <c r="J334" t="s">
        <v>1799</v>
      </c>
      <c r="K334" t="s">
        <v>1799</v>
      </c>
      <c r="L334" t="s">
        <v>1505</v>
      </c>
      <c r="M334" t="s">
        <v>1799</v>
      </c>
      <c r="N334" t="s">
        <v>1799</v>
      </c>
      <c r="O334" s="184" t="str">
        <f>"["&amp;$C334&amp;"]["&amp;$D334&amp;"]["&amp;$F334&amp;"]"</f>
        <v>[S05_DefaultValues][35][InstallationCategory]</v>
      </c>
    </row>
    <row r="335" spans="1:15" x14ac:dyDescent="0.3">
      <c r="A335" t="s">
        <v>1793</v>
      </c>
      <c r="B335" t="s">
        <v>1950</v>
      </c>
      <c r="C335" t="s">
        <v>1959</v>
      </c>
      <c r="D335">
        <v>36</v>
      </c>
      <c r="E335" t="s">
        <v>1447</v>
      </c>
      <c r="F335" t="s">
        <v>1960</v>
      </c>
      <c r="G335" t="s">
        <v>1737</v>
      </c>
      <c r="H335" t="s">
        <v>1799</v>
      </c>
      <c r="I335" t="s">
        <v>1799</v>
      </c>
      <c r="J335" t="s">
        <v>1799</v>
      </c>
      <c r="K335" t="s">
        <v>1799</v>
      </c>
      <c r="L335" t="s">
        <v>1505</v>
      </c>
      <c r="M335" t="s">
        <v>1799</v>
      </c>
      <c r="N335" t="s">
        <v>1799</v>
      </c>
      <c r="O335" s="184" t="str">
        <f>"["&amp;$C335&amp;"]["&amp;$D335&amp;"]["&amp;$F335&amp;"]"</f>
        <v>[S05_DefaultValues][36][InstallationCategory]</v>
      </c>
    </row>
    <row r="336" spans="1:15" x14ac:dyDescent="0.3">
      <c r="A336" t="s">
        <v>1793</v>
      </c>
      <c r="B336" t="s">
        <v>1950</v>
      </c>
      <c r="C336" t="s">
        <v>1959</v>
      </c>
      <c r="D336">
        <v>37</v>
      </c>
      <c r="E336" t="s">
        <v>1447</v>
      </c>
      <c r="F336" t="s">
        <v>1960</v>
      </c>
      <c r="G336" t="s">
        <v>1737</v>
      </c>
      <c r="H336" t="s">
        <v>1799</v>
      </c>
      <c r="I336" t="s">
        <v>1799</v>
      </c>
      <c r="J336" t="s">
        <v>1799</v>
      </c>
      <c r="K336" t="s">
        <v>1799</v>
      </c>
      <c r="L336" t="s">
        <v>1505</v>
      </c>
      <c r="M336" t="s">
        <v>1799</v>
      </c>
      <c r="N336" t="s">
        <v>1799</v>
      </c>
      <c r="O336" s="184" t="str">
        <f>"["&amp;$C336&amp;"]["&amp;$D336&amp;"]["&amp;$F336&amp;"]"</f>
        <v>[S05_DefaultValues][37][InstallationCategory]</v>
      </c>
    </row>
    <row r="337" spans="1:15" x14ac:dyDescent="0.3">
      <c r="A337" t="s">
        <v>1793</v>
      </c>
      <c r="B337" t="s">
        <v>1950</v>
      </c>
      <c r="C337" t="s">
        <v>1959</v>
      </c>
      <c r="D337">
        <v>38</v>
      </c>
      <c r="E337" t="s">
        <v>1447</v>
      </c>
      <c r="F337" t="s">
        <v>1960</v>
      </c>
      <c r="G337" t="s">
        <v>1737</v>
      </c>
      <c r="H337" t="s">
        <v>1799</v>
      </c>
      <c r="I337" t="s">
        <v>1799</v>
      </c>
      <c r="J337" t="s">
        <v>1799</v>
      </c>
      <c r="K337" t="s">
        <v>1799</v>
      </c>
      <c r="L337" t="s">
        <v>1505</v>
      </c>
      <c r="M337" t="s">
        <v>1799</v>
      </c>
      <c r="N337" t="s">
        <v>1799</v>
      </c>
      <c r="O337" s="184" t="str">
        <f>"["&amp;$C337&amp;"]["&amp;$D337&amp;"]["&amp;$F337&amp;"]"</f>
        <v>[S05_DefaultValues][38][InstallationCategory]</v>
      </c>
    </row>
    <row r="338" spans="1:15" x14ac:dyDescent="0.3">
      <c r="A338" t="s">
        <v>1793</v>
      </c>
      <c r="B338" t="s">
        <v>1950</v>
      </c>
      <c r="C338" t="s">
        <v>1959</v>
      </c>
      <c r="D338">
        <v>39</v>
      </c>
      <c r="E338" t="s">
        <v>1447</v>
      </c>
      <c r="F338" t="s">
        <v>1960</v>
      </c>
      <c r="G338" t="s">
        <v>1737</v>
      </c>
      <c r="H338" t="s">
        <v>1799</v>
      </c>
      <c r="I338" t="s">
        <v>1799</v>
      </c>
      <c r="J338" t="s">
        <v>1799</v>
      </c>
      <c r="K338" t="s">
        <v>1799</v>
      </c>
      <c r="L338" t="s">
        <v>1505</v>
      </c>
      <c r="M338" t="s">
        <v>1799</v>
      </c>
      <c r="N338" t="s">
        <v>1799</v>
      </c>
      <c r="O338" s="184" t="str">
        <f>"["&amp;$C338&amp;"]["&amp;$D338&amp;"]["&amp;$F338&amp;"]"</f>
        <v>[S05_DefaultValues][39][InstallationCategory]</v>
      </c>
    </row>
    <row r="339" spans="1:15" x14ac:dyDescent="0.3">
      <c r="A339" t="s">
        <v>1793</v>
      </c>
      <c r="B339" t="s">
        <v>1950</v>
      </c>
      <c r="C339" t="s">
        <v>1959</v>
      </c>
      <c r="D339">
        <v>40</v>
      </c>
      <c r="E339" t="s">
        <v>1447</v>
      </c>
      <c r="F339" t="s">
        <v>1960</v>
      </c>
      <c r="G339" t="s">
        <v>1737</v>
      </c>
      <c r="H339" t="s">
        <v>1799</v>
      </c>
      <c r="I339" t="s">
        <v>1799</v>
      </c>
      <c r="J339" t="s">
        <v>1799</v>
      </c>
      <c r="K339" t="s">
        <v>1799</v>
      </c>
      <c r="L339" t="s">
        <v>1505</v>
      </c>
      <c r="M339" t="s">
        <v>1799</v>
      </c>
      <c r="N339" t="s">
        <v>1799</v>
      </c>
      <c r="O339" s="184" t="str">
        <f>"["&amp;$C339&amp;"]["&amp;$D339&amp;"]["&amp;$F339&amp;"]"</f>
        <v>[S05_DefaultValues][40][InstallationCategory]</v>
      </c>
    </row>
    <row r="340" spans="1:15" x14ac:dyDescent="0.3">
      <c r="A340" t="s">
        <v>1793</v>
      </c>
      <c r="B340" t="s">
        <v>1950</v>
      </c>
      <c r="C340" t="s">
        <v>1959</v>
      </c>
      <c r="D340">
        <v>41</v>
      </c>
      <c r="E340" t="s">
        <v>1447</v>
      </c>
      <c r="F340" t="s">
        <v>1960</v>
      </c>
      <c r="G340" t="s">
        <v>1737</v>
      </c>
      <c r="H340" t="s">
        <v>1799</v>
      </c>
      <c r="I340" t="s">
        <v>1799</v>
      </c>
      <c r="J340" t="s">
        <v>1799</v>
      </c>
      <c r="K340" t="s">
        <v>1799</v>
      </c>
      <c r="L340" t="s">
        <v>1505</v>
      </c>
      <c r="M340" t="s">
        <v>1799</v>
      </c>
      <c r="N340" t="s">
        <v>1799</v>
      </c>
      <c r="O340" s="184" t="str">
        <f>"["&amp;$C340&amp;"]["&amp;$D340&amp;"]["&amp;$F340&amp;"]"</f>
        <v>[S05_DefaultValues][41][InstallationCategory]</v>
      </c>
    </row>
    <row r="341" spans="1:15" x14ac:dyDescent="0.3">
      <c r="A341" t="s">
        <v>1793</v>
      </c>
      <c r="B341" t="s">
        <v>1950</v>
      </c>
      <c r="C341" t="s">
        <v>1959</v>
      </c>
      <c r="D341">
        <v>42</v>
      </c>
      <c r="E341" t="s">
        <v>1447</v>
      </c>
      <c r="F341" t="s">
        <v>1960</v>
      </c>
      <c r="G341" t="s">
        <v>1737</v>
      </c>
      <c r="H341" t="s">
        <v>1799</v>
      </c>
      <c r="I341" t="s">
        <v>1799</v>
      </c>
      <c r="J341" t="s">
        <v>1799</v>
      </c>
      <c r="K341" t="s">
        <v>1799</v>
      </c>
      <c r="L341" t="s">
        <v>1505</v>
      </c>
      <c r="M341" t="s">
        <v>1799</v>
      </c>
      <c r="N341" t="s">
        <v>1799</v>
      </c>
      <c r="O341" s="184" t="str">
        <f>"["&amp;$C341&amp;"]["&amp;$D341&amp;"]["&amp;$F341&amp;"]"</f>
        <v>[S05_DefaultValues][42][InstallationCategory]</v>
      </c>
    </row>
    <row r="342" spans="1:15" x14ac:dyDescent="0.3">
      <c r="A342" t="s">
        <v>1793</v>
      </c>
      <c r="B342" t="s">
        <v>1950</v>
      </c>
      <c r="C342" t="s">
        <v>1959</v>
      </c>
      <c r="D342">
        <v>43</v>
      </c>
      <c r="E342" t="s">
        <v>1447</v>
      </c>
      <c r="F342" t="s">
        <v>1960</v>
      </c>
      <c r="G342" t="s">
        <v>1737</v>
      </c>
      <c r="H342" t="s">
        <v>1799</v>
      </c>
      <c r="I342" t="s">
        <v>1799</v>
      </c>
      <c r="J342" t="s">
        <v>1799</v>
      </c>
      <c r="K342" t="s">
        <v>1799</v>
      </c>
      <c r="L342" t="s">
        <v>1505</v>
      </c>
      <c r="M342" t="s">
        <v>1799</v>
      </c>
      <c r="N342" t="s">
        <v>1799</v>
      </c>
      <c r="O342" s="184" t="str">
        <f>"["&amp;$C342&amp;"]["&amp;$D342&amp;"]["&amp;$F342&amp;"]"</f>
        <v>[S05_DefaultValues][43][InstallationCategory]</v>
      </c>
    </row>
    <row r="343" spans="1:15" x14ac:dyDescent="0.3">
      <c r="A343" t="s">
        <v>1793</v>
      </c>
      <c r="B343" t="s">
        <v>1950</v>
      </c>
      <c r="C343" t="s">
        <v>1959</v>
      </c>
      <c r="D343">
        <v>44</v>
      </c>
      <c r="E343" t="s">
        <v>1447</v>
      </c>
      <c r="F343" t="s">
        <v>1960</v>
      </c>
      <c r="G343" t="s">
        <v>1737</v>
      </c>
      <c r="H343" t="s">
        <v>1799</v>
      </c>
      <c r="I343" t="s">
        <v>1799</v>
      </c>
      <c r="J343" t="s">
        <v>1799</v>
      </c>
      <c r="K343" t="s">
        <v>1799</v>
      </c>
      <c r="L343" t="s">
        <v>1505</v>
      </c>
      <c r="M343" t="s">
        <v>1799</v>
      </c>
      <c r="N343" t="s">
        <v>1799</v>
      </c>
      <c r="O343" s="184" t="str">
        <f>"["&amp;$C343&amp;"]["&amp;$D343&amp;"]["&amp;$F343&amp;"]"</f>
        <v>[S05_DefaultValues][44][InstallationCategory]</v>
      </c>
    </row>
    <row r="344" spans="1:15" x14ac:dyDescent="0.3">
      <c r="A344" t="s">
        <v>1793</v>
      </c>
      <c r="B344" t="s">
        <v>1950</v>
      </c>
      <c r="C344" t="s">
        <v>1959</v>
      </c>
      <c r="D344">
        <v>45</v>
      </c>
      <c r="E344" t="s">
        <v>1447</v>
      </c>
      <c r="F344" t="s">
        <v>1960</v>
      </c>
      <c r="G344" t="s">
        <v>1737</v>
      </c>
      <c r="H344" t="s">
        <v>1799</v>
      </c>
      <c r="I344" t="s">
        <v>1799</v>
      </c>
      <c r="J344" t="s">
        <v>1799</v>
      </c>
      <c r="K344" t="s">
        <v>1799</v>
      </c>
      <c r="L344" t="s">
        <v>1505</v>
      </c>
      <c r="M344" t="s">
        <v>1799</v>
      </c>
      <c r="N344" t="s">
        <v>1799</v>
      </c>
      <c r="O344" s="184" t="str">
        <f>"["&amp;$C344&amp;"]["&amp;$D344&amp;"]["&amp;$F344&amp;"]"</f>
        <v>[S05_DefaultValues][45][InstallationCategory]</v>
      </c>
    </row>
    <row r="345" spans="1:15" x14ac:dyDescent="0.3">
      <c r="A345" t="s">
        <v>1793</v>
      </c>
      <c r="B345" t="s">
        <v>1950</v>
      </c>
      <c r="C345" t="s">
        <v>1959</v>
      </c>
      <c r="D345">
        <v>46</v>
      </c>
      <c r="E345" t="s">
        <v>1447</v>
      </c>
      <c r="F345" t="s">
        <v>1960</v>
      </c>
      <c r="G345" t="s">
        <v>1737</v>
      </c>
      <c r="H345" t="s">
        <v>1799</v>
      </c>
      <c r="I345" t="s">
        <v>1799</v>
      </c>
      <c r="J345" t="s">
        <v>1799</v>
      </c>
      <c r="K345" t="s">
        <v>1799</v>
      </c>
      <c r="L345" t="s">
        <v>1505</v>
      </c>
      <c r="M345" t="s">
        <v>1799</v>
      </c>
      <c r="N345" t="s">
        <v>1799</v>
      </c>
      <c r="O345" s="184" t="str">
        <f>"["&amp;$C345&amp;"]["&amp;$D345&amp;"]["&amp;$F345&amp;"]"</f>
        <v>[S05_DefaultValues][46][InstallationCategory]</v>
      </c>
    </row>
    <row r="346" spans="1:15" x14ac:dyDescent="0.3">
      <c r="A346" t="s">
        <v>1793</v>
      </c>
      <c r="B346" t="s">
        <v>1950</v>
      </c>
      <c r="C346" t="s">
        <v>1959</v>
      </c>
      <c r="D346">
        <v>47</v>
      </c>
      <c r="E346" t="s">
        <v>1447</v>
      </c>
      <c r="F346" t="s">
        <v>1960</v>
      </c>
      <c r="G346" t="s">
        <v>1737</v>
      </c>
      <c r="H346" t="s">
        <v>1799</v>
      </c>
      <c r="I346" t="s">
        <v>1799</v>
      </c>
      <c r="J346" t="s">
        <v>1799</v>
      </c>
      <c r="K346" t="s">
        <v>1799</v>
      </c>
      <c r="L346" t="s">
        <v>1505</v>
      </c>
      <c r="M346" t="s">
        <v>1799</v>
      </c>
      <c r="N346" t="s">
        <v>1799</v>
      </c>
      <c r="O346" s="184" t="str">
        <f>"["&amp;$C346&amp;"]["&amp;$D346&amp;"]["&amp;$F346&amp;"]"</f>
        <v>[S05_DefaultValues][47][InstallationCategory]</v>
      </c>
    </row>
    <row r="347" spans="1:15" x14ac:dyDescent="0.3">
      <c r="A347" t="s">
        <v>1793</v>
      </c>
      <c r="B347" t="s">
        <v>1950</v>
      </c>
      <c r="C347" t="s">
        <v>1959</v>
      </c>
      <c r="D347">
        <v>48</v>
      </c>
      <c r="E347" t="s">
        <v>1447</v>
      </c>
      <c r="F347" t="s">
        <v>1960</v>
      </c>
      <c r="G347" t="s">
        <v>1737</v>
      </c>
      <c r="H347" t="s">
        <v>1799</v>
      </c>
      <c r="I347" t="s">
        <v>1799</v>
      </c>
      <c r="J347" t="s">
        <v>1799</v>
      </c>
      <c r="K347" t="s">
        <v>1799</v>
      </c>
      <c r="L347" t="s">
        <v>1505</v>
      </c>
      <c r="M347" t="s">
        <v>1799</v>
      </c>
      <c r="N347" t="s">
        <v>1799</v>
      </c>
      <c r="O347" s="184" t="str">
        <f>"["&amp;$C347&amp;"]["&amp;$D347&amp;"]["&amp;$F347&amp;"]"</f>
        <v>[S05_DefaultValues][48][InstallationCategory]</v>
      </c>
    </row>
    <row r="348" spans="1:15" x14ac:dyDescent="0.3">
      <c r="A348" t="s">
        <v>1793</v>
      </c>
      <c r="B348" t="s">
        <v>1950</v>
      </c>
      <c r="C348" t="s">
        <v>1959</v>
      </c>
      <c r="D348">
        <v>49</v>
      </c>
      <c r="E348" t="s">
        <v>1447</v>
      </c>
      <c r="F348" t="s">
        <v>1960</v>
      </c>
      <c r="G348" t="s">
        <v>1737</v>
      </c>
      <c r="H348" t="s">
        <v>1799</v>
      </c>
      <c r="I348" t="s">
        <v>1799</v>
      </c>
      <c r="J348" t="s">
        <v>1799</v>
      </c>
      <c r="K348" t="s">
        <v>1799</v>
      </c>
      <c r="L348" t="s">
        <v>1505</v>
      </c>
      <c r="M348" t="s">
        <v>1799</v>
      </c>
      <c r="N348" t="s">
        <v>1799</v>
      </c>
      <c r="O348" s="184" t="str">
        <f>"["&amp;$C348&amp;"]["&amp;$D348&amp;"]["&amp;$F348&amp;"]"</f>
        <v>[S05_DefaultValues][49][InstallationCategory]</v>
      </c>
    </row>
    <row r="349" spans="1:15" x14ac:dyDescent="0.3">
      <c r="A349" t="s">
        <v>1793</v>
      </c>
      <c r="B349" t="s">
        <v>1950</v>
      </c>
      <c r="C349" t="s">
        <v>1959</v>
      </c>
      <c r="D349">
        <v>50</v>
      </c>
      <c r="E349" t="s">
        <v>1447</v>
      </c>
      <c r="F349" t="s">
        <v>1960</v>
      </c>
      <c r="G349" t="s">
        <v>1737</v>
      </c>
      <c r="H349" t="s">
        <v>1799</v>
      </c>
      <c r="I349" t="s">
        <v>1799</v>
      </c>
      <c r="J349" t="s">
        <v>1799</v>
      </c>
      <c r="K349" t="s">
        <v>1799</v>
      </c>
      <c r="L349" t="s">
        <v>1505</v>
      </c>
      <c r="M349" t="s">
        <v>1799</v>
      </c>
      <c r="N349" t="s">
        <v>1799</v>
      </c>
      <c r="O349" s="184" t="str">
        <f>"["&amp;$C349&amp;"]["&amp;$D349&amp;"]["&amp;$F349&amp;"]"</f>
        <v>[S05_DefaultValues][50][InstallationCategory]</v>
      </c>
    </row>
    <row r="350" spans="1:15" x14ac:dyDescent="0.3">
      <c r="A350" t="s">
        <v>1793</v>
      </c>
      <c r="B350" t="s">
        <v>1950</v>
      </c>
      <c r="C350" t="s">
        <v>1959</v>
      </c>
      <c r="D350">
        <v>51</v>
      </c>
      <c r="E350" t="s">
        <v>1447</v>
      </c>
      <c r="F350" t="s">
        <v>1960</v>
      </c>
      <c r="G350" t="s">
        <v>1737</v>
      </c>
      <c r="H350" t="s">
        <v>1799</v>
      </c>
      <c r="I350" t="s">
        <v>1799</v>
      </c>
      <c r="J350" t="s">
        <v>1799</v>
      </c>
      <c r="K350" t="s">
        <v>1799</v>
      </c>
      <c r="L350" t="s">
        <v>1505</v>
      </c>
      <c r="M350" t="s">
        <v>1799</v>
      </c>
      <c r="N350" t="s">
        <v>1799</v>
      </c>
      <c r="O350" s="184" t="str">
        <f>"["&amp;$C350&amp;"]["&amp;$D350&amp;"]["&amp;$F350&amp;"]"</f>
        <v>[S05_DefaultValues][51][InstallationCategory]</v>
      </c>
    </row>
    <row r="351" spans="1:15" x14ac:dyDescent="0.3">
      <c r="A351" t="s">
        <v>1793</v>
      </c>
      <c r="B351" t="s">
        <v>1950</v>
      </c>
      <c r="C351" t="s">
        <v>1959</v>
      </c>
      <c r="D351">
        <v>52</v>
      </c>
      <c r="E351" t="s">
        <v>1447</v>
      </c>
      <c r="F351" t="s">
        <v>1960</v>
      </c>
      <c r="G351" t="s">
        <v>1737</v>
      </c>
      <c r="H351" t="s">
        <v>1799</v>
      </c>
      <c r="I351" t="s">
        <v>1799</v>
      </c>
      <c r="J351" t="s">
        <v>1799</v>
      </c>
      <c r="K351" t="s">
        <v>1799</v>
      </c>
      <c r="L351" t="s">
        <v>1505</v>
      </c>
      <c r="M351" t="s">
        <v>1799</v>
      </c>
      <c r="N351" t="s">
        <v>1799</v>
      </c>
      <c r="O351" s="184" t="str">
        <f>"["&amp;$C351&amp;"]["&amp;$D351&amp;"]["&amp;$F351&amp;"]"</f>
        <v>[S05_DefaultValues][52][InstallationCategory]</v>
      </c>
    </row>
    <row r="352" spans="1:15" x14ac:dyDescent="0.3">
      <c r="A352" t="s">
        <v>1793</v>
      </c>
      <c r="B352" t="s">
        <v>1950</v>
      </c>
      <c r="C352" t="s">
        <v>1959</v>
      </c>
      <c r="D352">
        <v>53</v>
      </c>
      <c r="E352" t="s">
        <v>1447</v>
      </c>
      <c r="F352" t="s">
        <v>1960</v>
      </c>
      <c r="G352" t="s">
        <v>1737</v>
      </c>
      <c r="H352" t="s">
        <v>1799</v>
      </c>
      <c r="I352" t="s">
        <v>1799</v>
      </c>
      <c r="J352" t="s">
        <v>1799</v>
      </c>
      <c r="K352" t="s">
        <v>1799</v>
      </c>
      <c r="L352" t="s">
        <v>1505</v>
      </c>
      <c r="M352" t="s">
        <v>1799</v>
      </c>
      <c r="N352" t="s">
        <v>1799</v>
      </c>
      <c r="O352" s="184" t="str">
        <f>"["&amp;$C352&amp;"]["&amp;$D352&amp;"]["&amp;$F352&amp;"]"</f>
        <v>[S05_DefaultValues][53][InstallationCategory]</v>
      </c>
    </row>
    <row r="353" spans="1:15" x14ac:dyDescent="0.3">
      <c r="A353" t="s">
        <v>1793</v>
      </c>
      <c r="B353" t="s">
        <v>1950</v>
      </c>
      <c r="C353" t="s">
        <v>1959</v>
      </c>
      <c r="D353">
        <v>54</v>
      </c>
      <c r="E353" t="s">
        <v>1447</v>
      </c>
      <c r="F353" t="s">
        <v>1960</v>
      </c>
      <c r="G353" t="s">
        <v>1737</v>
      </c>
      <c r="H353" t="s">
        <v>1799</v>
      </c>
      <c r="I353" t="s">
        <v>1799</v>
      </c>
      <c r="J353" t="s">
        <v>1799</v>
      </c>
      <c r="K353" t="s">
        <v>1799</v>
      </c>
      <c r="L353" t="s">
        <v>1505</v>
      </c>
      <c r="M353" t="s">
        <v>1799</v>
      </c>
      <c r="N353" t="s">
        <v>1799</v>
      </c>
      <c r="O353" s="184" t="str">
        <f>"["&amp;$C353&amp;"]["&amp;$D353&amp;"]["&amp;$F353&amp;"]"</f>
        <v>[S05_DefaultValues][54][InstallationCategory]</v>
      </c>
    </row>
    <row r="354" spans="1:15" x14ac:dyDescent="0.3">
      <c r="A354" t="s">
        <v>1793</v>
      </c>
      <c r="B354" t="s">
        <v>1950</v>
      </c>
      <c r="C354" t="s">
        <v>1959</v>
      </c>
      <c r="D354">
        <v>55</v>
      </c>
      <c r="E354" t="s">
        <v>1447</v>
      </c>
      <c r="F354" t="s">
        <v>1960</v>
      </c>
      <c r="G354" t="s">
        <v>1737</v>
      </c>
      <c r="H354" t="s">
        <v>1799</v>
      </c>
      <c r="I354" t="s">
        <v>1799</v>
      </c>
      <c r="J354" t="s">
        <v>1799</v>
      </c>
      <c r="K354" t="s">
        <v>1799</v>
      </c>
      <c r="L354" t="s">
        <v>1505</v>
      </c>
      <c r="M354" t="s">
        <v>1799</v>
      </c>
      <c r="N354" t="s">
        <v>1799</v>
      </c>
      <c r="O354" s="184" t="str">
        <f>"["&amp;$C354&amp;"]["&amp;$D354&amp;"]["&amp;$F354&amp;"]"</f>
        <v>[S05_DefaultValues][55][InstallationCategory]</v>
      </c>
    </row>
    <row r="355" spans="1:15" x14ac:dyDescent="0.3">
      <c r="A355" t="s">
        <v>1793</v>
      </c>
      <c r="B355" t="s">
        <v>1950</v>
      </c>
      <c r="C355" t="s">
        <v>1959</v>
      </c>
      <c r="D355">
        <v>56</v>
      </c>
      <c r="E355" t="s">
        <v>1447</v>
      </c>
      <c r="F355" t="s">
        <v>1960</v>
      </c>
      <c r="G355" t="s">
        <v>1737</v>
      </c>
      <c r="H355" t="s">
        <v>1799</v>
      </c>
      <c r="I355" t="s">
        <v>1799</v>
      </c>
      <c r="J355" t="s">
        <v>1799</v>
      </c>
      <c r="K355" t="s">
        <v>1799</v>
      </c>
      <c r="L355" t="s">
        <v>1505</v>
      </c>
      <c r="M355" t="s">
        <v>1799</v>
      </c>
      <c r="N355" t="s">
        <v>1799</v>
      </c>
      <c r="O355" s="184" t="str">
        <f>"["&amp;$C355&amp;"]["&amp;$D355&amp;"]["&amp;$F355&amp;"]"</f>
        <v>[S05_DefaultValues][56][InstallationCategory]</v>
      </c>
    </row>
    <row r="356" spans="1:15" x14ac:dyDescent="0.3">
      <c r="A356" t="s">
        <v>1793</v>
      </c>
      <c r="B356" t="s">
        <v>1950</v>
      </c>
      <c r="C356" t="s">
        <v>1959</v>
      </c>
      <c r="D356">
        <v>57</v>
      </c>
      <c r="E356" t="s">
        <v>1447</v>
      </c>
      <c r="F356" t="s">
        <v>1960</v>
      </c>
      <c r="G356" t="s">
        <v>1737</v>
      </c>
      <c r="H356" t="s">
        <v>1799</v>
      </c>
      <c r="I356" t="s">
        <v>1799</v>
      </c>
      <c r="J356" t="s">
        <v>1799</v>
      </c>
      <c r="K356" t="s">
        <v>1799</v>
      </c>
      <c r="L356" t="s">
        <v>1505</v>
      </c>
      <c r="M356" t="s">
        <v>1799</v>
      </c>
      <c r="N356" t="s">
        <v>1799</v>
      </c>
      <c r="O356" s="184" t="str">
        <f>"["&amp;$C356&amp;"]["&amp;$D356&amp;"]["&amp;$F356&amp;"]"</f>
        <v>[S05_DefaultValues][57][InstallationCategory]</v>
      </c>
    </row>
    <row r="357" spans="1:15" x14ac:dyDescent="0.3">
      <c r="A357" t="s">
        <v>1793</v>
      </c>
      <c r="B357" t="s">
        <v>1950</v>
      </c>
      <c r="C357" t="s">
        <v>1959</v>
      </c>
      <c r="D357">
        <v>58</v>
      </c>
      <c r="E357" t="s">
        <v>1447</v>
      </c>
      <c r="F357" t="s">
        <v>1960</v>
      </c>
      <c r="G357" t="s">
        <v>1737</v>
      </c>
      <c r="H357" t="s">
        <v>1799</v>
      </c>
      <c r="I357" t="s">
        <v>1799</v>
      </c>
      <c r="J357" t="s">
        <v>1799</v>
      </c>
      <c r="K357" t="s">
        <v>1799</v>
      </c>
      <c r="L357" t="s">
        <v>1505</v>
      </c>
      <c r="M357" t="s">
        <v>1799</v>
      </c>
      <c r="N357" t="s">
        <v>1799</v>
      </c>
      <c r="O357" s="184" t="str">
        <f>"["&amp;$C357&amp;"]["&amp;$D357&amp;"]["&amp;$F357&amp;"]"</f>
        <v>[S05_DefaultValues][58][InstallationCategory]</v>
      </c>
    </row>
    <row r="358" spans="1:15" x14ac:dyDescent="0.3">
      <c r="A358" t="s">
        <v>1793</v>
      </c>
      <c r="B358" t="s">
        <v>1950</v>
      </c>
      <c r="C358" t="s">
        <v>1959</v>
      </c>
      <c r="D358">
        <v>59</v>
      </c>
      <c r="E358" t="s">
        <v>1447</v>
      </c>
      <c r="F358" t="s">
        <v>1960</v>
      </c>
      <c r="G358" t="s">
        <v>1737</v>
      </c>
      <c r="H358" t="s">
        <v>1799</v>
      </c>
      <c r="I358" t="s">
        <v>1799</v>
      </c>
      <c r="J358" t="s">
        <v>1799</v>
      </c>
      <c r="K358" t="s">
        <v>1799</v>
      </c>
      <c r="L358" t="s">
        <v>1505</v>
      </c>
      <c r="M358" t="s">
        <v>1799</v>
      </c>
      <c r="N358" t="s">
        <v>1799</v>
      </c>
      <c r="O358" s="184" t="str">
        <f>"["&amp;$C358&amp;"]["&amp;$D358&amp;"]["&amp;$F358&amp;"]"</f>
        <v>[S05_DefaultValues][59][InstallationCategory]</v>
      </c>
    </row>
    <row r="359" spans="1:15" x14ac:dyDescent="0.3">
      <c r="A359" t="s">
        <v>1793</v>
      </c>
      <c r="B359" t="s">
        <v>1950</v>
      </c>
      <c r="C359" t="s">
        <v>1959</v>
      </c>
      <c r="D359">
        <v>60</v>
      </c>
      <c r="E359" t="s">
        <v>1447</v>
      </c>
      <c r="F359" t="s">
        <v>1960</v>
      </c>
      <c r="G359" t="s">
        <v>1737</v>
      </c>
      <c r="H359" t="s">
        <v>1799</v>
      </c>
      <c r="I359" t="s">
        <v>1799</v>
      </c>
      <c r="J359" t="s">
        <v>1799</v>
      </c>
      <c r="K359" t="s">
        <v>1799</v>
      </c>
      <c r="L359" t="s">
        <v>1505</v>
      </c>
      <c r="M359" t="s">
        <v>1799</v>
      </c>
      <c r="N359" t="s">
        <v>1799</v>
      </c>
      <c r="O359" s="184" t="str">
        <f>"["&amp;$C359&amp;"]["&amp;$D359&amp;"]["&amp;$F359&amp;"]"</f>
        <v>[S05_DefaultValues][60][InstallationCategory]</v>
      </c>
    </row>
    <row r="360" spans="1:15" x14ac:dyDescent="0.3">
      <c r="A360" t="s">
        <v>1793</v>
      </c>
      <c r="B360" t="s">
        <v>1950</v>
      </c>
      <c r="C360" t="s">
        <v>1959</v>
      </c>
      <c r="D360">
        <v>61</v>
      </c>
      <c r="E360" t="s">
        <v>1447</v>
      </c>
      <c r="F360" t="s">
        <v>1960</v>
      </c>
      <c r="G360" t="s">
        <v>1737</v>
      </c>
      <c r="H360" t="s">
        <v>1799</v>
      </c>
      <c r="I360" t="s">
        <v>1799</v>
      </c>
      <c r="J360" t="s">
        <v>1799</v>
      </c>
      <c r="K360" t="s">
        <v>1799</v>
      </c>
      <c r="L360" t="s">
        <v>1505</v>
      </c>
      <c r="M360" t="s">
        <v>1799</v>
      </c>
      <c r="N360" t="s">
        <v>1799</v>
      </c>
      <c r="O360" s="184" t="str">
        <f>"["&amp;$C360&amp;"]["&amp;$D360&amp;"]["&amp;$F360&amp;"]"</f>
        <v>[S05_DefaultValues][61][InstallationCategory]</v>
      </c>
    </row>
    <row r="361" spans="1:15" x14ac:dyDescent="0.3">
      <c r="A361" t="s">
        <v>1793</v>
      </c>
      <c r="B361" t="s">
        <v>1950</v>
      </c>
      <c r="C361" t="s">
        <v>1959</v>
      </c>
      <c r="D361">
        <v>62</v>
      </c>
      <c r="E361" t="s">
        <v>1447</v>
      </c>
      <c r="F361" t="s">
        <v>1960</v>
      </c>
      <c r="G361" t="s">
        <v>1737</v>
      </c>
      <c r="H361" t="s">
        <v>1799</v>
      </c>
      <c r="I361" t="s">
        <v>1799</v>
      </c>
      <c r="J361" t="s">
        <v>1799</v>
      </c>
      <c r="K361" t="s">
        <v>1799</v>
      </c>
      <c r="L361" t="s">
        <v>1505</v>
      </c>
      <c r="M361" t="s">
        <v>1799</v>
      </c>
      <c r="N361" t="s">
        <v>1799</v>
      </c>
      <c r="O361" s="184" t="str">
        <f>"["&amp;$C361&amp;"]["&amp;$D361&amp;"]["&amp;$F361&amp;"]"</f>
        <v>[S05_DefaultValues][62][InstallationCategory]</v>
      </c>
    </row>
    <row r="362" spans="1:15" x14ac:dyDescent="0.3">
      <c r="A362" t="s">
        <v>1793</v>
      </c>
      <c r="B362" t="s">
        <v>1950</v>
      </c>
      <c r="C362" t="s">
        <v>1959</v>
      </c>
      <c r="D362">
        <v>63</v>
      </c>
      <c r="E362" t="s">
        <v>1447</v>
      </c>
      <c r="F362" t="s">
        <v>1960</v>
      </c>
      <c r="G362" t="s">
        <v>1737</v>
      </c>
      <c r="H362" t="s">
        <v>1799</v>
      </c>
      <c r="I362" t="s">
        <v>1799</v>
      </c>
      <c r="J362" t="s">
        <v>1799</v>
      </c>
      <c r="K362" t="s">
        <v>1799</v>
      </c>
      <c r="L362" t="s">
        <v>1505</v>
      </c>
      <c r="M362" t="s">
        <v>1799</v>
      </c>
      <c r="N362" t="s">
        <v>1799</v>
      </c>
      <c r="O362" s="184" t="str">
        <f>"["&amp;$C362&amp;"]["&amp;$D362&amp;"]["&amp;$F362&amp;"]"</f>
        <v>[S05_DefaultValues][63][InstallationCategory]</v>
      </c>
    </row>
    <row r="363" spans="1:15" x14ac:dyDescent="0.3">
      <c r="A363" t="s">
        <v>1793</v>
      </c>
      <c r="B363" t="s">
        <v>1950</v>
      </c>
      <c r="C363" t="s">
        <v>1959</v>
      </c>
      <c r="D363">
        <v>64</v>
      </c>
      <c r="E363" t="s">
        <v>1447</v>
      </c>
      <c r="F363" t="s">
        <v>1960</v>
      </c>
      <c r="G363" t="s">
        <v>1737</v>
      </c>
      <c r="H363" t="s">
        <v>1799</v>
      </c>
      <c r="I363" t="s">
        <v>1799</v>
      </c>
      <c r="J363" t="s">
        <v>1799</v>
      </c>
      <c r="K363" t="s">
        <v>1799</v>
      </c>
      <c r="L363" t="s">
        <v>1505</v>
      </c>
      <c r="M363" t="s">
        <v>1799</v>
      </c>
      <c r="N363" t="s">
        <v>1799</v>
      </c>
      <c r="O363" s="184" t="str">
        <f>"["&amp;$C363&amp;"]["&amp;$D363&amp;"]["&amp;$F363&amp;"]"</f>
        <v>[S05_DefaultValues][64][InstallationCategory]</v>
      </c>
    </row>
    <row r="364" spans="1:15" x14ac:dyDescent="0.3">
      <c r="A364" t="s">
        <v>1793</v>
      </c>
      <c r="B364" t="s">
        <v>1950</v>
      </c>
      <c r="C364" t="s">
        <v>1959</v>
      </c>
      <c r="D364">
        <v>65</v>
      </c>
      <c r="E364" t="s">
        <v>1447</v>
      </c>
      <c r="F364" t="s">
        <v>1960</v>
      </c>
      <c r="G364" t="s">
        <v>1737</v>
      </c>
      <c r="H364" t="s">
        <v>1799</v>
      </c>
      <c r="I364" t="s">
        <v>1799</v>
      </c>
      <c r="J364" t="s">
        <v>1799</v>
      </c>
      <c r="K364" t="s">
        <v>1799</v>
      </c>
      <c r="L364" t="s">
        <v>1505</v>
      </c>
      <c r="M364" t="s">
        <v>1799</v>
      </c>
      <c r="N364" t="s">
        <v>1799</v>
      </c>
      <c r="O364" s="184" t="str">
        <f>"["&amp;$C364&amp;"]["&amp;$D364&amp;"]["&amp;$F364&amp;"]"</f>
        <v>[S05_DefaultValues][65][InstallationCategory]</v>
      </c>
    </row>
    <row r="365" spans="1:15" x14ac:dyDescent="0.3">
      <c r="A365" t="s">
        <v>1793</v>
      </c>
      <c r="B365" t="s">
        <v>1950</v>
      </c>
      <c r="C365" t="s">
        <v>1959</v>
      </c>
      <c r="D365">
        <v>66</v>
      </c>
      <c r="E365" t="s">
        <v>1447</v>
      </c>
      <c r="F365" t="s">
        <v>1960</v>
      </c>
      <c r="G365" t="s">
        <v>1737</v>
      </c>
      <c r="H365" t="s">
        <v>1799</v>
      </c>
      <c r="I365" t="s">
        <v>1799</v>
      </c>
      <c r="J365" t="s">
        <v>1799</v>
      </c>
      <c r="K365" t="s">
        <v>1799</v>
      </c>
      <c r="L365" t="s">
        <v>1505</v>
      </c>
      <c r="M365" t="s">
        <v>1799</v>
      </c>
      <c r="N365" t="s">
        <v>1799</v>
      </c>
      <c r="O365" s="184" t="str">
        <f>"["&amp;$C365&amp;"]["&amp;$D365&amp;"]["&amp;$F365&amp;"]"</f>
        <v>[S05_DefaultValues][66][InstallationCategory]</v>
      </c>
    </row>
    <row r="366" spans="1:15" x14ac:dyDescent="0.3">
      <c r="A366" t="s">
        <v>1793</v>
      </c>
      <c r="B366" t="s">
        <v>1950</v>
      </c>
      <c r="C366" t="s">
        <v>1959</v>
      </c>
      <c r="D366">
        <v>67</v>
      </c>
      <c r="E366" t="s">
        <v>1447</v>
      </c>
      <c r="F366" t="s">
        <v>1960</v>
      </c>
      <c r="G366" t="s">
        <v>1737</v>
      </c>
      <c r="H366" t="s">
        <v>1799</v>
      </c>
      <c r="I366" t="s">
        <v>1799</v>
      </c>
      <c r="J366" t="s">
        <v>1799</v>
      </c>
      <c r="K366" t="s">
        <v>1799</v>
      </c>
      <c r="L366" t="s">
        <v>1505</v>
      </c>
      <c r="M366" t="s">
        <v>1799</v>
      </c>
      <c r="N366" t="s">
        <v>1799</v>
      </c>
      <c r="O366" s="184" t="str">
        <f>"["&amp;$C366&amp;"]["&amp;$D366&amp;"]["&amp;$F366&amp;"]"</f>
        <v>[S05_DefaultValues][67][InstallationCategory]</v>
      </c>
    </row>
    <row r="367" spans="1:15" x14ac:dyDescent="0.3">
      <c r="A367" t="s">
        <v>1793</v>
      </c>
      <c r="B367" t="s">
        <v>1950</v>
      </c>
      <c r="C367" t="s">
        <v>1959</v>
      </c>
      <c r="D367">
        <v>68</v>
      </c>
      <c r="E367" t="s">
        <v>1447</v>
      </c>
      <c r="F367" t="s">
        <v>1960</v>
      </c>
      <c r="G367" t="s">
        <v>1737</v>
      </c>
      <c r="H367" t="s">
        <v>1799</v>
      </c>
      <c r="I367" t="s">
        <v>1799</v>
      </c>
      <c r="J367" t="s">
        <v>1799</v>
      </c>
      <c r="K367" t="s">
        <v>1799</v>
      </c>
      <c r="L367" t="s">
        <v>1505</v>
      </c>
      <c r="M367" t="s">
        <v>1799</v>
      </c>
      <c r="N367" t="s">
        <v>1799</v>
      </c>
      <c r="O367" s="184" t="str">
        <f>"["&amp;$C367&amp;"]["&amp;$D367&amp;"]["&amp;$F367&amp;"]"</f>
        <v>[S05_DefaultValues][68][InstallationCategory]</v>
      </c>
    </row>
    <row r="368" spans="1:15" x14ac:dyDescent="0.3">
      <c r="A368" t="s">
        <v>1793</v>
      </c>
      <c r="B368" t="s">
        <v>1950</v>
      </c>
      <c r="C368" t="s">
        <v>1959</v>
      </c>
      <c r="D368">
        <v>69</v>
      </c>
      <c r="E368" t="s">
        <v>1447</v>
      </c>
      <c r="F368" t="s">
        <v>1960</v>
      </c>
      <c r="G368" t="s">
        <v>1737</v>
      </c>
      <c r="H368" t="s">
        <v>1799</v>
      </c>
      <c r="I368" t="s">
        <v>1799</v>
      </c>
      <c r="J368" t="s">
        <v>1799</v>
      </c>
      <c r="K368" t="s">
        <v>1799</v>
      </c>
      <c r="L368" t="s">
        <v>1505</v>
      </c>
      <c r="M368" t="s">
        <v>1799</v>
      </c>
      <c r="N368" t="s">
        <v>1799</v>
      </c>
      <c r="O368" s="184" t="str">
        <f>"["&amp;$C368&amp;"]["&amp;$D368&amp;"]["&amp;$F368&amp;"]"</f>
        <v>[S05_DefaultValues][69][InstallationCategory]</v>
      </c>
    </row>
    <row r="369" spans="1:15" x14ac:dyDescent="0.3">
      <c r="A369" t="s">
        <v>1793</v>
      </c>
      <c r="B369" t="s">
        <v>1950</v>
      </c>
      <c r="C369" t="s">
        <v>1959</v>
      </c>
      <c r="D369">
        <v>70</v>
      </c>
      <c r="E369" t="s">
        <v>1447</v>
      </c>
      <c r="F369" t="s">
        <v>1960</v>
      </c>
      <c r="G369" t="s">
        <v>1737</v>
      </c>
      <c r="H369" t="s">
        <v>1799</v>
      </c>
      <c r="I369" t="s">
        <v>1799</v>
      </c>
      <c r="J369" t="s">
        <v>1799</v>
      </c>
      <c r="K369" t="s">
        <v>1799</v>
      </c>
      <c r="L369" t="s">
        <v>1505</v>
      </c>
      <c r="M369" t="s">
        <v>1799</v>
      </c>
      <c r="N369" t="s">
        <v>1799</v>
      </c>
      <c r="O369" s="184" t="str">
        <f>"["&amp;$C369&amp;"]["&amp;$D369&amp;"]["&amp;$F369&amp;"]"</f>
        <v>[S05_DefaultValues][70][InstallationCategory]</v>
      </c>
    </row>
    <row r="370" spans="1:15" x14ac:dyDescent="0.3">
      <c r="A370" t="s">
        <v>1793</v>
      </c>
      <c r="B370" t="s">
        <v>1950</v>
      </c>
      <c r="C370" t="s">
        <v>1959</v>
      </c>
      <c r="D370">
        <v>71</v>
      </c>
      <c r="E370" t="s">
        <v>1447</v>
      </c>
      <c r="F370" t="s">
        <v>1960</v>
      </c>
      <c r="G370" t="s">
        <v>1737</v>
      </c>
      <c r="H370" t="s">
        <v>1799</v>
      </c>
      <c r="I370" t="s">
        <v>1799</v>
      </c>
      <c r="J370" t="s">
        <v>1799</v>
      </c>
      <c r="K370" t="s">
        <v>1799</v>
      </c>
      <c r="L370" t="s">
        <v>1505</v>
      </c>
      <c r="M370" t="s">
        <v>1799</v>
      </c>
      <c r="N370" t="s">
        <v>1799</v>
      </c>
      <c r="O370" s="184" t="str">
        <f>"["&amp;$C370&amp;"]["&amp;$D370&amp;"]["&amp;$F370&amp;"]"</f>
        <v>[S05_DefaultValues][71][InstallationCategory]</v>
      </c>
    </row>
    <row r="371" spans="1:15" x14ac:dyDescent="0.3">
      <c r="A371" t="s">
        <v>1793</v>
      </c>
      <c r="B371" t="s">
        <v>1950</v>
      </c>
      <c r="C371" t="s">
        <v>1959</v>
      </c>
      <c r="D371">
        <v>72</v>
      </c>
      <c r="E371" t="s">
        <v>1447</v>
      </c>
      <c r="F371" t="s">
        <v>1960</v>
      </c>
      <c r="G371" t="s">
        <v>1737</v>
      </c>
      <c r="H371" t="s">
        <v>1799</v>
      </c>
      <c r="I371" t="s">
        <v>1799</v>
      </c>
      <c r="J371" t="s">
        <v>1799</v>
      </c>
      <c r="K371" t="s">
        <v>1799</v>
      </c>
      <c r="L371" t="s">
        <v>1505</v>
      </c>
      <c r="M371" t="s">
        <v>1799</v>
      </c>
      <c r="N371" t="s">
        <v>1799</v>
      </c>
      <c r="O371" s="184" t="str">
        <f>"["&amp;$C371&amp;"]["&amp;$D371&amp;"]["&amp;$F371&amp;"]"</f>
        <v>[S05_DefaultValues][72][InstallationCategory]</v>
      </c>
    </row>
    <row r="372" spans="1:15" x14ac:dyDescent="0.3">
      <c r="A372" t="s">
        <v>1793</v>
      </c>
      <c r="B372" t="s">
        <v>1950</v>
      </c>
      <c r="C372" t="s">
        <v>1959</v>
      </c>
      <c r="D372">
        <v>73</v>
      </c>
      <c r="E372" t="s">
        <v>1447</v>
      </c>
      <c r="F372" t="s">
        <v>1960</v>
      </c>
      <c r="G372" t="s">
        <v>1737</v>
      </c>
      <c r="H372" t="s">
        <v>1799</v>
      </c>
      <c r="I372" t="s">
        <v>1799</v>
      </c>
      <c r="J372" t="s">
        <v>1799</v>
      </c>
      <c r="K372" t="s">
        <v>1799</v>
      </c>
      <c r="L372" t="s">
        <v>1505</v>
      </c>
      <c r="M372" t="s">
        <v>1799</v>
      </c>
      <c r="N372" t="s">
        <v>1799</v>
      </c>
      <c r="O372" s="184" t="str">
        <f>"["&amp;$C372&amp;"]["&amp;$D372&amp;"]["&amp;$F372&amp;"]"</f>
        <v>[S05_DefaultValues][73][InstallationCategory]</v>
      </c>
    </row>
    <row r="373" spans="1:15" x14ac:dyDescent="0.3">
      <c r="A373" t="s">
        <v>1793</v>
      </c>
      <c r="B373" t="s">
        <v>1950</v>
      </c>
      <c r="C373" t="s">
        <v>1959</v>
      </c>
      <c r="D373">
        <v>74</v>
      </c>
      <c r="E373" t="s">
        <v>1447</v>
      </c>
      <c r="F373" t="s">
        <v>1960</v>
      </c>
      <c r="G373" t="s">
        <v>1737</v>
      </c>
      <c r="H373" t="s">
        <v>1799</v>
      </c>
      <c r="I373" t="s">
        <v>1799</v>
      </c>
      <c r="J373" t="s">
        <v>1799</v>
      </c>
      <c r="K373" t="s">
        <v>1799</v>
      </c>
      <c r="L373" t="s">
        <v>1505</v>
      </c>
      <c r="M373" t="s">
        <v>1799</v>
      </c>
      <c r="N373" t="s">
        <v>1799</v>
      </c>
      <c r="O373" s="184" t="str">
        <f>"["&amp;$C373&amp;"]["&amp;$D373&amp;"]["&amp;$F373&amp;"]"</f>
        <v>[S05_DefaultValues][74][InstallationCategory]</v>
      </c>
    </row>
    <row r="374" spans="1:15" x14ac:dyDescent="0.3">
      <c r="A374" t="s">
        <v>1793</v>
      </c>
      <c r="B374" t="s">
        <v>1950</v>
      </c>
      <c r="C374" t="s">
        <v>1959</v>
      </c>
      <c r="D374">
        <v>75</v>
      </c>
      <c r="E374" t="s">
        <v>1447</v>
      </c>
      <c r="F374" t="s">
        <v>1960</v>
      </c>
      <c r="G374" t="s">
        <v>1737</v>
      </c>
      <c r="H374" t="s">
        <v>1799</v>
      </c>
      <c r="I374" t="s">
        <v>1799</v>
      </c>
      <c r="J374" t="s">
        <v>1799</v>
      </c>
      <c r="K374" t="s">
        <v>1799</v>
      </c>
      <c r="L374" t="s">
        <v>1505</v>
      </c>
      <c r="M374" t="s">
        <v>1799</v>
      </c>
      <c r="N374" t="s">
        <v>1799</v>
      </c>
      <c r="O374" s="184" t="str">
        <f>"["&amp;$C374&amp;"]["&amp;$D374&amp;"]["&amp;$F374&amp;"]"</f>
        <v>[S05_DefaultValues][75][InstallationCategory]</v>
      </c>
    </row>
    <row r="375" spans="1:15" x14ac:dyDescent="0.3">
      <c r="A375" t="s">
        <v>1793</v>
      </c>
      <c r="B375" t="s">
        <v>1950</v>
      </c>
      <c r="C375" t="s">
        <v>1959</v>
      </c>
      <c r="D375">
        <v>76</v>
      </c>
      <c r="E375" t="s">
        <v>1447</v>
      </c>
      <c r="F375" t="s">
        <v>1960</v>
      </c>
      <c r="G375" t="s">
        <v>1737</v>
      </c>
      <c r="H375" t="s">
        <v>1799</v>
      </c>
      <c r="I375" t="s">
        <v>1799</v>
      </c>
      <c r="J375" t="s">
        <v>1799</v>
      </c>
      <c r="K375" t="s">
        <v>1799</v>
      </c>
      <c r="L375" t="s">
        <v>1505</v>
      </c>
      <c r="M375" t="s">
        <v>1799</v>
      </c>
      <c r="N375" t="s">
        <v>1799</v>
      </c>
      <c r="O375" s="184" t="str">
        <f>"["&amp;$C375&amp;"]["&amp;$D375&amp;"]["&amp;$F375&amp;"]"</f>
        <v>[S05_DefaultValues][76][InstallationCategory]</v>
      </c>
    </row>
    <row r="376" spans="1:15" x14ac:dyDescent="0.3">
      <c r="A376" t="s">
        <v>1793</v>
      </c>
      <c r="B376" t="s">
        <v>1950</v>
      </c>
      <c r="C376" t="s">
        <v>1959</v>
      </c>
      <c r="D376">
        <v>77</v>
      </c>
      <c r="E376" t="s">
        <v>1447</v>
      </c>
      <c r="F376" t="s">
        <v>1960</v>
      </c>
      <c r="G376" t="s">
        <v>1737</v>
      </c>
      <c r="H376" t="s">
        <v>1799</v>
      </c>
      <c r="I376" t="s">
        <v>1799</v>
      </c>
      <c r="J376" t="s">
        <v>1799</v>
      </c>
      <c r="K376" t="s">
        <v>1799</v>
      </c>
      <c r="L376" t="s">
        <v>1505</v>
      </c>
      <c r="M376" t="s">
        <v>1799</v>
      </c>
      <c r="N376" t="s">
        <v>1799</v>
      </c>
      <c r="O376" s="184" t="str">
        <f>"["&amp;$C376&amp;"]["&amp;$D376&amp;"]["&amp;$F376&amp;"]"</f>
        <v>[S05_DefaultValues][77][InstallationCategory]</v>
      </c>
    </row>
    <row r="377" spans="1:15" x14ac:dyDescent="0.3">
      <c r="A377" t="s">
        <v>1793</v>
      </c>
      <c r="B377" t="s">
        <v>1950</v>
      </c>
      <c r="C377" t="s">
        <v>1959</v>
      </c>
      <c r="D377">
        <v>78</v>
      </c>
      <c r="E377" t="s">
        <v>1447</v>
      </c>
      <c r="F377" t="s">
        <v>1960</v>
      </c>
      <c r="G377" t="s">
        <v>1737</v>
      </c>
      <c r="H377" t="s">
        <v>1799</v>
      </c>
      <c r="I377" t="s">
        <v>1799</v>
      </c>
      <c r="J377" t="s">
        <v>1799</v>
      </c>
      <c r="K377" t="s">
        <v>1799</v>
      </c>
      <c r="L377" t="s">
        <v>1505</v>
      </c>
      <c r="M377" t="s">
        <v>1799</v>
      </c>
      <c r="N377" t="s">
        <v>1799</v>
      </c>
      <c r="O377" s="184" t="str">
        <f>"["&amp;$C377&amp;"]["&amp;$D377&amp;"]["&amp;$F377&amp;"]"</f>
        <v>[S05_DefaultValues][78][InstallationCategory]</v>
      </c>
    </row>
    <row r="378" spans="1:15" x14ac:dyDescent="0.3">
      <c r="A378" t="s">
        <v>1793</v>
      </c>
      <c r="B378" t="s">
        <v>1950</v>
      </c>
      <c r="C378" t="s">
        <v>1959</v>
      </c>
      <c r="D378">
        <v>79</v>
      </c>
      <c r="E378" t="s">
        <v>1447</v>
      </c>
      <c r="F378" t="s">
        <v>1960</v>
      </c>
      <c r="G378" t="s">
        <v>1737</v>
      </c>
      <c r="H378" t="s">
        <v>1799</v>
      </c>
      <c r="I378" t="s">
        <v>1799</v>
      </c>
      <c r="J378" t="s">
        <v>1799</v>
      </c>
      <c r="K378" t="s">
        <v>1799</v>
      </c>
      <c r="L378" t="s">
        <v>1505</v>
      </c>
      <c r="M378" t="s">
        <v>1799</v>
      </c>
      <c r="N378" t="s">
        <v>1799</v>
      </c>
      <c r="O378" s="184" t="str">
        <f>"["&amp;$C378&amp;"]["&amp;$D378&amp;"]["&amp;$F378&amp;"]"</f>
        <v>[S05_DefaultValues][79][InstallationCategory]</v>
      </c>
    </row>
    <row r="379" spans="1:15" x14ac:dyDescent="0.3">
      <c r="A379" t="s">
        <v>1793</v>
      </c>
      <c r="B379" t="s">
        <v>1950</v>
      </c>
      <c r="C379" t="s">
        <v>1959</v>
      </c>
      <c r="D379">
        <v>80</v>
      </c>
      <c r="E379" t="s">
        <v>1447</v>
      </c>
      <c r="F379" t="s">
        <v>1960</v>
      </c>
      <c r="G379" t="s">
        <v>1737</v>
      </c>
      <c r="H379" t="s">
        <v>1799</v>
      </c>
      <c r="I379" t="s">
        <v>1799</v>
      </c>
      <c r="J379" t="s">
        <v>1799</v>
      </c>
      <c r="K379" t="s">
        <v>1799</v>
      </c>
      <c r="L379" t="s">
        <v>1505</v>
      </c>
      <c r="M379" t="s">
        <v>1799</v>
      </c>
      <c r="N379" t="s">
        <v>1799</v>
      </c>
      <c r="O379" s="184" t="str">
        <f>"["&amp;$C379&amp;"]["&amp;$D379&amp;"]["&amp;$F379&amp;"]"</f>
        <v>[S05_DefaultValues][80][InstallationCategory]</v>
      </c>
    </row>
    <row r="380" spans="1:15" x14ac:dyDescent="0.3">
      <c r="A380" t="s">
        <v>1793</v>
      </c>
      <c r="B380" t="s">
        <v>1950</v>
      </c>
      <c r="C380" t="s">
        <v>1959</v>
      </c>
      <c r="D380">
        <v>81</v>
      </c>
      <c r="E380" t="s">
        <v>1447</v>
      </c>
      <c r="F380" t="s">
        <v>1960</v>
      </c>
      <c r="G380" t="s">
        <v>1737</v>
      </c>
      <c r="H380" t="s">
        <v>1799</v>
      </c>
      <c r="I380" t="s">
        <v>1799</v>
      </c>
      <c r="J380" t="s">
        <v>1799</v>
      </c>
      <c r="K380" t="s">
        <v>1799</v>
      </c>
      <c r="L380" t="s">
        <v>1505</v>
      </c>
      <c r="M380" t="s">
        <v>1799</v>
      </c>
      <c r="N380" t="s">
        <v>1799</v>
      </c>
      <c r="O380" s="184" t="str">
        <f>"["&amp;$C380&amp;"]["&amp;$D380&amp;"]["&amp;$F380&amp;"]"</f>
        <v>[S05_DefaultValues][81][InstallationCategory]</v>
      </c>
    </row>
    <row r="381" spans="1:15" x14ac:dyDescent="0.3">
      <c r="A381" t="s">
        <v>1793</v>
      </c>
      <c r="B381" t="s">
        <v>1950</v>
      </c>
      <c r="C381" t="s">
        <v>1959</v>
      </c>
      <c r="D381">
        <v>82</v>
      </c>
      <c r="E381" t="s">
        <v>1447</v>
      </c>
      <c r="F381" t="s">
        <v>1960</v>
      </c>
      <c r="G381" t="s">
        <v>1737</v>
      </c>
      <c r="H381" t="s">
        <v>1799</v>
      </c>
      <c r="I381" t="s">
        <v>1799</v>
      </c>
      <c r="J381" t="s">
        <v>1799</v>
      </c>
      <c r="K381" t="s">
        <v>1799</v>
      </c>
      <c r="L381" t="s">
        <v>1505</v>
      </c>
      <c r="M381" t="s">
        <v>1799</v>
      </c>
      <c r="N381" t="s">
        <v>1799</v>
      </c>
      <c r="O381" s="184" t="str">
        <f>"["&amp;$C381&amp;"]["&amp;$D381&amp;"]["&amp;$F381&amp;"]"</f>
        <v>[S05_DefaultValues][82][InstallationCategory]</v>
      </c>
    </row>
    <row r="382" spans="1:15" x14ac:dyDescent="0.3">
      <c r="A382" t="s">
        <v>1793</v>
      </c>
      <c r="B382" t="s">
        <v>1950</v>
      </c>
      <c r="C382" t="s">
        <v>1959</v>
      </c>
      <c r="D382">
        <v>83</v>
      </c>
      <c r="E382" t="s">
        <v>1447</v>
      </c>
      <c r="F382" t="s">
        <v>1960</v>
      </c>
      <c r="G382" t="s">
        <v>1737</v>
      </c>
      <c r="H382" t="s">
        <v>1799</v>
      </c>
      <c r="I382" t="s">
        <v>1799</v>
      </c>
      <c r="J382" t="s">
        <v>1799</v>
      </c>
      <c r="K382" t="s">
        <v>1799</v>
      </c>
      <c r="L382" t="s">
        <v>1505</v>
      </c>
      <c r="M382" t="s">
        <v>1799</v>
      </c>
      <c r="N382" t="s">
        <v>1799</v>
      </c>
      <c r="O382" s="184" t="str">
        <f>"["&amp;$C382&amp;"]["&amp;$D382&amp;"]["&amp;$F382&amp;"]"</f>
        <v>[S05_DefaultValues][83][InstallationCategory]</v>
      </c>
    </row>
    <row r="383" spans="1:15" x14ac:dyDescent="0.3">
      <c r="A383" t="s">
        <v>1793</v>
      </c>
      <c r="B383" t="s">
        <v>1950</v>
      </c>
      <c r="C383" t="s">
        <v>1959</v>
      </c>
      <c r="D383">
        <v>84</v>
      </c>
      <c r="E383" t="s">
        <v>1447</v>
      </c>
      <c r="F383" t="s">
        <v>1960</v>
      </c>
      <c r="G383" t="s">
        <v>1737</v>
      </c>
      <c r="H383" t="s">
        <v>1799</v>
      </c>
      <c r="I383" t="s">
        <v>1799</v>
      </c>
      <c r="J383" t="s">
        <v>1799</v>
      </c>
      <c r="K383" t="s">
        <v>1799</v>
      </c>
      <c r="L383" t="s">
        <v>1427</v>
      </c>
      <c r="M383" t="s">
        <v>1799</v>
      </c>
      <c r="N383" t="s">
        <v>1799</v>
      </c>
      <c r="O383" s="184" t="str">
        <f>"["&amp;$C383&amp;"]["&amp;$D383&amp;"]["&amp;$F383&amp;"]"</f>
        <v>[S05_DefaultValues][84][InstallationCategory]</v>
      </c>
    </row>
    <row r="384" spans="1:15" x14ac:dyDescent="0.3">
      <c r="A384" t="s">
        <v>1793</v>
      </c>
      <c r="B384" t="s">
        <v>1950</v>
      </c>
      <c r="C384" t="s">
        <v>1959</v>
      </c>
      <c r="D384">
        <v>85</v>
      </c>
      <c r="E384" t="s">
        <v>1447</v>
      </c>
      <c r="F384" t="s">
        <v>1960</v>
      </c>
      <c r="G384" t="s">
        <v>1737</v>
      </c>
      <c r="H384" t="s">
        <v>1799</v>
      </c>
      <c r="I384" t="s">
        <v>1799</v>
      </c>
      <c r="J384" t="s">
        <v>1799</v>
      </c>
      <c r="K384" t="s">
        <v>1799</v>
      </c>
      <c r="L384" t="s">
        <v>1427</v>
      </c>
      <c r="M384" t="s">
        <v>1799</v>
      </c>
      <c r="N384" t="s">
        <v>1799</v>
      </c>
      <c r="O384" s="184" t="str">
        <f>"["&amp;$C384&amp;"]["&amp;$D384&amp;"]["&amp;$F384&amp;"]"</f>
        <v>[S05_DefaultValues][85][InstallationCategory]</v>
      </c>
    </row>
    <row r="385" spans="1:15" x14ac:dyDescent="0.3">
      <c r="A385" t="s">
        <v>1793</v>
      </c>
      <c r="B385" t="s">
        <v>1950</v>
      </c>
      <c r="C385" t="s">
        <v>1959</v>
      </c>
      <c r="D385">
        <v>86</v>
      </c>
      <c r="E385" t="s">
        <v>1447</v>
      </c>
      <c r="F385" t="s">
        <v>1960</v>
      </c>
      <c r="G385" t="s">
        <v>1737</v>
      </c>
      <c r="H385" t="s">
        <v>1799</v>
      </c>
      <c r="I385" t="s">
        <v>1799</v>
      </c>
      <c r="J385" t="s">
        <v>1799</v>
      </c>
      <c r="K385" t="s">
        <v>1799</v>
      </c>
      <c r="L385" t="s">
        <v>1427</v>
      </c>
      <c r="M385" t="s">
        <v>1799</v>
      </c>
      <c r="N385" t="s">
        <v>1799</v>
      </c>
      <c r="O385" s="184" t="str">
        <f>"["&amp;$C385&amp;"]["&amp;$D385&amp;"]["&amp;$F385&amp;"]"</f>
        <v>[S05_DefaultValues][86][InstallationCategory]</v>
      </c>
    </row>
    <row r="386" spans="1:15" x14ac:dyDescent="0.3">
      <c r="A386" t="s">
        <v>1793</v>
      </c>
      <c r="B386" t="s">
        <v>1950</v>
      </c>
      <c r="C386" t="s">
        <v>1959</v>
      </c>
      <c r="D386">
        <v>87</v>
      </c>
      <c r="E386" t="s">
        <v>1447</v>
      </c>
      <c r="F386" t="s">
        <v>1960</v>
      </c>
      <c r="G386" t="s">
        <v>1737</v>
      </c>
      <c r="H386" t="s">
        <v>1799</v>
      </c>
      <c r="I386" t="s">
        <v>1799</v>
      </c>
      <c r="J386" t="s">
        <v>1799</v>
      </c>
      <c r="K386" t="s">
        <v>1799</v>
      </c>
      <c r="L386" t="s">
        <v>1427</v>
      </c>
      <c r="M386" t="s">
        <v>1799</v>
      </c>
      <c r="N386" t="s">
        <v>1799</v>
      </c>
      <c r="O386" s="184" t="str">
        <f>"["&amp;$C386&amp;"]["&amp;$D386&amp;"]["&amp;$F386&amp;"]"</f>
        <v>[S05_DefaultValues][87][InstallationCategory]</v>
      </c>
    </row>
    <row r="387" spans="1:15" x14ac:dyDescent="0.3">
      <c r="A387" t="s">
        <v>1793</v>
      </c>
      <c r="B387" t="s">
        <v>1950</v>
      </c>
      <c r="C387" t="s">
        <v>1959</v>
      </c>
      <c r="D387">
        <v>88</v>
      </c>
      <c r="E387" t="s">
        <v>1447</v>
      </c>
      <c r="F387" t="s">
        <v>1960</v>
      </c>
      <c r="G387" t="s">
        <v>1737</v>
      </c>
      <c r="H387" t="s">
        <v>1799</v>
      </c>
      <c r="I387" t="s">
        <v>1799</v>
      </c>
      <c r="J387" t="s">
        <v>1799</v>
      </c>
      <c r="K387" t="s">
        <v>1799</v>
      </c>
      <c r="L387" t="s">
        <v>1427</v>
      </c>
      <c r="M387" t="s">
        <v>1799</v>
      </c>
      <c r="N387" t="s">
        <v>1799</v>
      </c>
      <c r="O387" s="184" t="str">
        <f>"["&amp;$C387&amp;"]["&amp;$D387&amp;"]["&amp;$F387&amp;"]"</f>
        <v>[S05_DefaultValues][88][InstallationCategory]</v>
      </c>
    </row>
    <row r="388" spans="1:15" x14ac:dyDescent="0.3">
      <c r="A388" t="s">
        <v>1793</v>
      </c>
      <c r="B388" t="s">
        <v>1950</v>
      </c>
      <c r="C388" t="s">
        <v>1959</v>
      </c>
      <c r="D388">
        <v>89</v>
      </c>
      <c r="E388" t="s">
        <v>1447</v>
      </c>
      <c r="F388" t="s">
        <v>1960</v>
      </c>
      <c r="G388" t="s">
        <v>1737</v>
      </c>
      <c r="H388" t="s">
        <v>1799</v>
      </c>
      <c r="I388" t="s">
        <v>1799</v>
      </c>
      <c r="J388" t="s">
        <v>1799</v>
      </c>
      <c r="K388" t="s">
        <v>1799</v>
      </c>
      <c r="L388" t="s">
        <v>1427</v>
      </c>
      <c r="M388" t="s">
        <v>1799</v>
      </c>
      <c r="N388" t="s">
        <v>1799</v>
      </c>
      <c r="O388" s="184" t="str">
        <f>"["&amp;$C388&amp;"]["&amp;$D388&amp;"]["&amp;$F388&amp;"]"</f>
        <v>[S05_DefaultValues][89][InstallationCategory]</v>
      </c>
    </row>
    <row r="389" spans="1:15" x14ac:dyDescent="0.3">
      <c r="A389" t="s">
        <v>1793</v>
      </c>
      <c r="B389" t="s">
        <v>1950</v>
      </c>
      <c r="C389" t="s">
        <v>1959</v>
      </c>
      <c r="D389">
        <v>90</v>
      </c>
      <c r="E389" t="s">
        <v>1447</v>
      </c>
      <c r="F389" t="s">
        <v>1960</v>
      </c>
      <c r="G389" t="s">
        <v>1737</v>
      </c>
      <c r="H389" t="s">
        <v>1799</v>
      </c>
      <c r="I389" t="s">
        <v>1799</v>
      </c>
      <c r="J389" t="s">
        <v>1799</v>
      </c>
      <c r="K389" t="s">
        <v>1799</v>
      </c>
      <c r="L389" t="s">
        <v>1427</v>
      </c>
      <c r="M389" t="s">
        <v>1799</v>
      </c>
      <c r="N389" t="s">
        <v>1799</v>
      </c>
      <c r="O389" s="184" t="str">
        <f>"["&amp;$C389&amp;"]["&amp;$D389&amp;"]["&amp;$F389&amp;"]"</f>
        <v>[S05_DefaultValues][90][InstallationCategory]</v>
      </c>
    </row>
    <row r="390" spans="1:15" x14ac:dyDescent="0.3">
      <c r="A390" t="s">
        <v>1793</v>
      </c>
      <c r="B390" t="s">
        <v>1950</v>
      </c>
      <c r="C390" t="s">
        <v>1959</v>
      </c>
      <c r="D390">
        <v>91</v>
      </c>
      <c r="E390" t="s">
        <v>1447</v>
      </c>
      <c r="F390" t="s">
        <v>1960</v>
      </c>
      <c r="G390" t="s">
        <v>1737</v>
      </c>
      <c r="H390" t="s">
        <v>1799</v>
      </c>
      <c r="I390" t="s">
        <v>1799</v>
      </c>
      <c r="J390" t="s">
        <v>1799</v>
      </c>
      <c r="K390" t="s">
        <v>1799</v>
      </c>
      <c r="L390" t="s">
        <v>1427</v>
      </c>
      <c r="M390" t="s">
        <v>1799</v>
      </c>
      <c r="N390" t="s">
        <v>1799</v>
      </c>
      <c r="O390" s="184" t="str">
        <f>"["&amp;$C390&amp;"]["&amp;$D390&amp;"]["&amp;$F390&amp;"]"</f>
        <v>[S05_DefaultValues][91][InstallationCategory]</v>
      </c>
    </row>
    <row r="391" spans="1:15" x14ac:dyDescent="0.3">
      <c r="A391" t="s">
        <v>1793</v>
      </c>
      <c r="B391" t="s">
        <v>1950</v>
      </c>
      <c r="C391" t="s">
        <v>1959</v>
      </c>
      <c r="D391">
        <v>92</v>
      </c>
      <c r="E391" t="s">
        <v>1447</v>
      </c>
      <c r="F391" t="s">
        <v>1960</v>
      </c>
      <c r="G391" t="s">
        <v>1737</v>
      </c>
      <c r="H391" t="s">
        <v>1799</v>
      </c>
      <c r="I391" t="s">
        <v>1799</v>
      </c>
      <c r="J391" t="s">
        <v>1799</v>
      </c>
      <c r="K391" t="s">
        <v>1799</v>
      </c>
      <c r="L391" t="s">
        <v>1427</v>
      </c>
      <c r="M391" t="s">
        <v>1799</v>
      </c>
      <c r="N391" t="s">
        <v>1799</v>
      </c>
      <c r="O391" s="184" t="str">
        <f>"["&amp;$C391&amp;"]["&amp;$D391&amp;"]["&amp;$F391&amp;"]"</f>
        <v>[S05_DefaultValues][92][InstallationCategory]</v>
      </c>
    </row>
    <row r="392" spans="1:15" x14ac:dyDescent="0.3">
      <c r="A392" t="s">
        <v>1793</v>
      </c>
      <c r="B392" t="s">
        <v>1950</v>
      </c>
      <c r="C392" t="s">
        <v>1959</v>
      </c>
      <c r="D392">
        <v>93</v>
      </c>
      <c r="E392" t="s">
        <v>1447</v>
      </c>
      <c r="F392" t="s">
        <v>1960</v>
      </c>
      <c r="G392" t="s">
        <v>1737</v>
      </c>
      <c r="H392" t="s">
        <v>1799</v>
      </c>
      <c r="I392" t="s">
        <v>1799</v>
      </c>
      <c r="J392" t="s">
        <v>1799</v>
      </c>
      <c r="K392" t="s">
        <v>1799</v>
      </c>
      <c r="L392" t="s">
        <v>1427</v>
      </c>
      <c r="M392" t="s">
        <v>1799</v>
      </c>
      <c r="N392" t="s">
        <v>1799</v>
      </c>
      <c r="O392" s="184" t="str">
        <f>"["&amp;$C392&amp;"]["&amp;$D392&amp;"]["&amp;$F392&amp;"]"</f>
        <v>[S05_DefaultValues][93][InstallationCategory]</v>
      </c>
    </row>
    <row r="393" spans="1:15" x14ac:dyDescent="0.3">
      <c r="A393" t="s">
        <v>1793</v>
      </c>
      <c r="B393" t="s">
        <v>1950</v>
      </c>
      <c r="C393" t="s">
        <v>1959</v>
      </c>
      <c r="D393">
        <v>94</v>
      </c>
      <c r="E393" t="s">
        <v>1447</v>
      </c>
      <c r="F393" t="s">
        <v>1960</v>
      </c>
      <c r="G393" t="s">
        <v>1737</v>
      </c>
      <c r="H393" t="s">
        <v>1799</v>
      </c>
      <c r="I393" t="s">
        <v>1799</v>
      </c>
      <c r="J393" t="s">
        <v>1799</v>
      </c>
      <c r="K393" t="s">
        <v>1799</v>
      </c>
      <c r="L393" t="s">
        <v>1427</v>
      </c>
      <c r="M393" t="s">
        <v>1799</v>
      </c>
      <c r="N393" t="s">
        <v>1799</v>
      </c>
      <c r="O393" s="184" t="str">
        <f>"["&amp;$C393&amp;"]["&amp;$D393&amp;"]["&amp;$F393&amp;"]"</f>
        <v>[S05_DefaultValues][94][InstallationCategory]</v>
      </c>
    </row>
    <row r="394" spans="1:15" x14ac:dyDescent="0.3">
      <c r="A394" t="s">
        <v>1793</v>
      </c>
      <c r="B394" t="s">
        <v>1950</v>
      </c>
      <c r="C394" t="s">
        <v>1959</v>
      </c>
      <c r="D394">
        <v>95</v>
      </c>
      <c r="E394" t="s">
        <v>1447</v>
      </c>
      <c r="F394" t="s">
        <v>1960</v>
      </c>
      <c r="G394" t="s">
        <v>1737</v>
      </c>
      <c r="H394" t="s">
        <v>1799</v>
      </c>
      <c r="I394" t="s">
        <v>1799</v>
      </c>
      <c r="J394" t="s">
        <v>1799</v>
      </c>
      <c r="K394" t="s">
        <v>1799</v>
      </c>
      <c r="L394" t="s">
        <v>1427</v>
      </c>
      <c r="M394" t="s">
        <v>1799</v>
      </c>
      <c r="N394" t="s">
        <v>1799</v>
      </c>
      <c r="O394" s="184" t="str">
        <f>"["&amp;$C394&amp;"]["&amp;$D394&amp;"]["&amp;$F394&amp;"]"</f>
        <v>[S05_DefaultValues][95][InstallationCategory]</v>
      </c>
    </row>
    <row r="395" spans="1:15" x14ac:dyDescent="0.3">
      <c r="A395" t="s">
        <v>1793</v>
      </c>
      <c r="B395" t="s">
        <v>1950</v>
      </c>
      <c r="C395" t="s">
        <v>1959</v>
      </c>
      <c r="D395">
        <v>96</v>
      </c>
      <c r="E395" t="s">
        <v>1447</v>
      </c>
      <c r="F395" t="s">
        <v>1960</v>
      </c>
      <c r="G395" t="s">
        <v>1737</v>
      </c>
      <c r="H395" t="s">
        <v>1799</v>
      </c>
      <c r="I395" t="s">
        <v>1799</v>
      </c>
      <c r="J395" t="s">
        <v>1799</v>
      </c>
      <c r="K395" t="s">
        <v>1799</v>
      </c>
      <c r="L395" t="s">
        <v>1427</v>
      </c>
      <c r="M395" t="s">
        <v>1799</v>
      </c>
      <c r="N395" t="s">
        <v>1799</v>
      </c>
      <c r="O395" s="184" t="str">
        <f>"["&amp;$C395&amp;"]["&amp;$D395&amp;"]["&amp;$F395&amp;"]"</f>
        <v>[S05_DefaultValues][96][InstallationCategory]</v>
      </c>
    </row>
    <row r="396" spans="1:15" x14ac:dyDescent="0.3">
      <c r="A396" t="s">
        <v>1793</v>
      </c>
      <c r="B396" t="s">
        <v>1950</v>
      </c>
      <c r="C396" t="s">
        <v>1959</v>
      </c>
      <c r="D396">
        <v>97</v>
      </c>
      <c r="E396" t="s">
        <v>1447</v>
      </c>
      <c r="F396" t="s">
        <v>1960</v>
      </c>
      <c r="G396" t="s">
        <v>1737</v>
      </c>
      <c r="H396" t="s">
        <v>1799</v>
      </c>
      <c r="I396" t="s">
        <v>1799</v>
      </c>
      <c r="J396" t="s">
        <v>1799</v>
      </c>
      <c r="K396" t="s">
        <v>1799</v>
      </c>
      <c r="L396" t="s">
        <v>1427</v>
      </c>
      <c r="M396" t="s">
        <v>1799</v>
      </c>
      <c r="N396" t="s">
        <v>1799</v>
      </c>
      <c r="O396" s="184" t="str">
        <f>"["&amp;$C396&amp;"]["&amp;$D396&amp;"]["&amp;$F396&amp;"]"</f>
        <v>[S05_DefaultValues][97][InstallationCategory]</v>
      </c>
    </row>
    <row r="397" spans="1:15" x14ac:dyDescent="0.3">
      <c r="A397" t="s">
        <v>1793</v>
      </c>
      <c r="B397" t="s">
        <v>1950</v>
      </c>
      <c r="C397" t="s">
        <v>1959</v>
      </c>
      <c r="D397">
        <v>98</v>
      </c>
      <c r="E397" t="s">
        <v>1447</v>
      </c>
      <c r="F397" t="s">
        <v>1960</v>
      </c>
      <c r="G397" t="s">
        <v>1737</v>
      </c>
      <c r="H397" t="s">
        <v>1799</v>
      </c>
      <c r="I397" t="s">
        <v>1799</v>
      </c>
      <c r="J397" t="s">
        <v>1799</v>
      </c>
      <c r="K397" t="s">
        <v>1799</v>
      </c>
      <c r="L397" t="s">
        <v>1427</v>
      </c>
      <c r="M397" t="s">
        <v>1799</v>
      </c>
      <c r="N397" t="s">
        <v>1799</v>
      </c>
      <c r="O397" s="184" t="str">
        <f>"["&amp;$C397&amp;"]["&amp;$D397&amp;"]["&amp;$F397&amp;"]"</f>
        <v>[S05_DefaultValues][98][InstallationCategory]</v>
      </c>
    </row>
    <row r="398" spans="1:15" x14ac:dyDescent="0.3">
      <c r="A398" t="s">
        <v>1793</v>
      </c>
      <c r="B398" t="s">
        <v>1950</v>
      </c>
      <c r="C398" t="s">
        <v>1959</v>
      </c>
      <c r="D398">
        <v>99</v>
      </c>
      <c r="E398" t="s">
        <v>1447</v>
      </c>
      <c r="F398" t="s">
        <v>1960</v>
      </c>
      <c r="G398" t="s">
        <v>1737</v>
      </c>
      <c r="H398" t="s">
        <v>1799</v>
      </c>
      <c r="I398" t="s">
        <v>1799</v>
      </c>
      <c r="J398" t="s">
        <v>1799</v>
      </c>
      <c r="K398" t="s">
        <v>1799</v>
      </c>
      <c r="L398" t="s">
        <v>1427</v>
      </c>
      <c r="M398" t="s">
        <v>1799</v>
      </c>
      <c r="N398" t="s">
        <v>1799</v>
      </c>
      <c r="O398" s="184" t="str">
        <f>"["&amp;$C398&amp;"]["&amp;$D398&amp;"]["&amp;$F398&amp;"]"</f>
        <v>[S05_DefaultValues][99][InstallationCategory]</v>
      </c>
    </row>
    <row r="399" spans="1:15" x14ac:dyDescent="0.3">
      <c r="A399" t="s">
        <v>1793</v>
      </c>
      <c r="B399" t="s">
        <v>1950</v>
      </c>
      <c r="C399" t="s">
        <v>1959</v>
      </c>
      <c r="D399">
        <v>100</v>
      </c>
      <c r="E399" t="s">
        <v>1447</v>
      </c>
      <c r="F399" t="s">
        <v>1960</v>
      </c>
      <c r="G399" t="s">
        <v>1737</v>
      </c>
      <c r="H399" t="s">
        <v>1799</v>
      </c>
      <c r="I399" t="s">
        <v>1799</v>
      </c>
      <c r="J399" t="s">
        <v>1799</v>
      </c>
      <c r="K399" t="s">
        <v>1799</v>
      </c>
      <c r="L399" t="s">
        <v>1427</v>
      </c>
      <c r="M399" t="s">
        <v>1799</v>
      </c>
      <c r="N399" t="s">
        <v>1799</v>
      </c>
      <c r="O399" s="184" t="str">
        <f>"["&amp;$C399&amp;"]["&amp;$D399&amp;"]["&amp;$F399&amp;"]"</f>
        <v>[S05_DefaultValues][100][InstallationCategory]</v>
      </c>
    </row>
    <row r="400" spans="1:15" x14ac:dyDescent="0.3">
      <c r="A400" t="s">
        <v>1793</v>
      </c>
      <c r="B400" t="s">
        <v>1950</v>
      </c>
      <c r="C400" t="s">
        <v>1959</v>
      </c>
      <c r="D400">
        <v>101</v>
      </c>
      <c r="E400" t="s">
        <v>1447</v>
      </c>
      <c r="F400" t="s">
        <v>1960</v>
      </c>
      <c r="G400" t="s">
        <v>1737</v>
      </c>
      <c r="H400" t="s">
        <v>1799</v>
      </c>
      <c r="I400" t="s">
        <v>1799</v>
      </c>
      <c r="J400" t="s">
        <v>1799</v>
      </c>
      <c r="K400" t="s">
        <v>1799</v>
      </c>
      <c r="L400" t="s">
        <v>1427</v>
      </c>
      <c r="M400" t="s">
        <v>1799</v>
      </c>
      <c r="N400" t="s">
        <v>1799</v>
      </c>
      <c r="O400" s="184" t="str">
        <f>"["&amp;$C400&amp;"]["&amp;$D400&amp;"]["&amp;$F400&amp;"]"</f>
        <v>[S05_DefaultValues][101][InstallationCategory]</v>
      </c>
    </row>
    <row r="401" spans="1:15" x14ac:dyDescent="0.3">
      <c r="A401" t="s">
        <v>1793</v>
      </c>
      <c r="B401" t="s">
        <v>1950</v>
      </c>
      <c r="C401" t="s">
        <v>1959</v>
      </c>
      <c r="D401">
        <v>102</v>
      </c>
      <c r="E401" t="s">
        <v>1447</v>
      </c>
      <c r="F401" t="s">
        <v>1960</v>
      </c>
      <c r="G401" t="s">
        <v>1737</v>
      </c>
      <c r="H401" t="s">
        <v>1799</v>
      </c>
      <c r="I401" t="s">
        <v>1799</v>
      </c>
      <c r="J401" t="s">
        <v>1799</v>
      </c>
      <c r="K401" t="s">
        <v>1799</v>
      </c>
      <c r="L401" t="s">
        <v>1427</v>
      </c>
      <c r="M401" t="s">
        <v>1799</v>
      </c>
      <c r="N401" t="s">
        <v>1799</v>
      </c>
      <c r="O401" s="184" t="str">
        <f>"["&amp;$C401&amp;"]["&amp;$D401&amp;"]["&amp;$F401&amp;"]"</f>
        <v>[S05_DefaultValues][102][InstallationCategory]</v>
      </c>
    </row>
    <row r="402" spans="1:15" x14ac:dyDescent="0.3">
      <c r="A402" t="s">
        <v>1793</v>
      </c>
      <c r="B402" t="s">
        <v>1950</v>
      </c>
      <c r="C402" t="s">
        <v>1959</v>
      </c>
      <c r="D402">
        <v>103</v>
      </c>
      <c r="E402" t="s">
        <v>1447</v>
      </c>
      <c r="F402" t="s">
        <v>1960</v>
      </c>
      <c r="G402" t="s">
        <v>1737</v>
      </c>
      <c r="H402" t="s">
        <v>1799</v>
      </c>
      <c r="I402" t="s">
        <v>1799</v>
      </c>
      <c r="J402" t="s">
        <v>1799</v>
      </c>
      <c r="K402" t="s">
        <v>1799</v>
      </c>
      <c r="L402" t="s">
        <v>1427</v>
      </c>
      <c r="M402" t="s">
        <v>1799</v>
      </c>
      <c r="N402" t="s">
        <v>1799</v>
      </c>
      <c r="O402" s="184" t="str">
        <f>"["&amp;$C402&amp;"]["&amp;$D402&amp;"]["&amp;$F402&amp;"]"</f>
        <v>[S05_DefaultValues][103][InstallationCategory]</v>
      </c>
    </row>
    <row r="403" spans="1:15" x14ac:dyDescent="0.3">
      <c r="A403" t="s">
        <v>1793</v>
      </c>
      <c r="B403" t="s">
        <v>1950</v>
      </c>
      <c r="C403" t="s">
        <v>1959</v>
      </c>
      <c r="D403">
        <v>104</v>
      </c>
      <c r="E403" t="s">
        <v>1447</v>
      </c>
      <c r="F403" t="s">
        <v>1960</v>
      </c>
      <c r="G403" t="s">
        <v>1737</v>
      </c>
      <c r="H403" t="s">
        <v>1799</v>
      </c>
      <c r="I403" t="s">
        <v>1799</v>
      </c>
      <c r="J403" t="s">
        <v>1799</v>
      </c>
      <c r="K403" t="s">
        <v>1799</v>
      </c>
      <c r="L403" t="s">
        <v>1427</v>
      </c>
      <c r="M403" t="s">
        <v>1799</v>
      </c>
      <c r="N403" t="s">
        <v>1799</v>
      </c>
      <c r="O403" s="184" t="str">
        <f>"["&amp;$C403&amp;"]["&amp;$D403&amp;"]["&amp;$F403&amp;"]"</f>
        <v>[S05_DefaultValues][104][InstallationCategory]</v>
      </c>
    </row>
    <row r="404" spans="1:15" x14ac:dyDescent="0.3">
      <c r="A404" t="s">
        <v>1793</v>
      </c>
      <c r="B404" t="s">
        <v>1950</v>
      </c>
      <c r="C404" t="s">
        <v>1959</v>
      </c>
      <c r="D404">
        <v>105</v>
      </c>
      <c r="E404" t="s">
        <v>1447</v>
      </c>
      <c r="F404" t="s">
        <v>1960</v>
      </c>
      <c r="G404" t="s">
        <v>1737</v>
      </c>
      <c r="H404" t="s">
        <v>1799</v>
      </c>
      <c r="I404" t="s">
        <v>1799</v>
      </c>
      <c r="J404" t="s">
        <v>1799</v>
      </c>
      <c r="K404" t="s">
        <v>1799</v>
      </c>
      <c r="L404" t="s">
        <v>1427</v>
      </c>
      <c r="M404" t="s">
        <v>1799</v>
      </c>
      <c r="N404" t="s">
        <v>1799</v>
      </c>
      <c r="O404" s="184" t="str">
        <f>"["&amp;$C404&amp;"]["&amp;$D404&amp;"]["&amp;$F404&amp;"]"</f>
        <v>[S05_DefaultValues][105][InstallationCategory]</v>
      </c>
    </row>
    <row r="405" spans="1:15" x14ac:dyDescent="0.3">
      <c r="A405" t="s">
        <v>1793</v>
      </c>
      <c r="B405" t="s">
        <v>1950</v>
      </c>
      <c r="C405" t="s">
        <v>1959</v>
      </c>
      <c r="D405">
        <v>106</v>
      </c>
      <c r="E405" t="s">
        <v>1447</v>
      </c>
      <c r="F405" t="s">
        <v>1960</v>
      </c>
      <c r="G405" t="s">
        <v>1737</v>
      </c>
      <c r="H405" t="s">
        <v>1799</v>
      </c>
      <c r="I405" t="s">
        <v>1799</v>
      </c>
      <c r="J405" t="s">
        <v>1799</v>
      </c>
      <c r="K405" t="s">
        <v>1799</v>
      </c>
      <c r="L405" t="s">
        <v>1427</v>
      </c>
      <c r="M405" t="s">
        <v>1799</v>
      </c>
      <c r="N405" t="s">
        <v>1799</v>
      </c>
      <c r="O405" s="184" t="str">
        <f>"["&amp;$C405&amp;"]["&amp;$D405&amp;"]["&amp;$F405&amp;"]"</f>
        <v>[S05_DefaultValues][106][InstallationCategory]</v>
      </c>
    </row>
    <row r="406" spans="1:15" x14ac:dyDescent="0.3">
      <c r="A406" t="s">
        <v>1793</v>
      </c>
      <c r="B406" t="s">
        <v>1950</v>
      </c>
      <c r="C406" t="s">
        <v>1959</v>
      </c>
      <c r="D406">
        <v>107</v>
      </c>
      <c r="E406" t="s">
        <v>1447</v>
      </c>
      <c r="F406" t="s">
        <v>1960</v>
      </c>
      <c r="G406" t="s">
        <v>1737</v>
      </c>
      <c r="H406" t="s">
        <v>1799</v>
      </c>
      <c r="I406" t="s">
        <v>1799</v>
      </c>
      <c r="J406" t="s">
        <v>1799</v>
      </c>
      <c r="K406" t="s">
        <v>1799</v>
      </c>
      <c r="L406" t="s">
        <v>1427</v>
      </c>
      <c r="M406" t="s">
        <v>1799</v>
      </c>
      <c r="N406" t="s">
        <v>1799</v>
      </c>
      <c r="O406" s="184" t="str">
        <f>"["&amp;$C406&amp;"]["&amp;$D406&amp;"]["&amp;$F406&amp;"]"</f>
        <v>[S05_DefaultValues][107][InstallationCategory]</v>
      </c>
    </row>
    <row r="407" spans="1:15" x14ac:dyDescent="0.3">
      <c r="A407" t="s">
        <v>1793</v>
      </c>
      <c r="B407" t="s">
        <v>1950</v>
      </c>
      <c r="C407" t="s">
        <v>1959</v>
      </c>
      <c r="D407">
        <v>108</v>
      </c>
      <c r="E407" t="s">
        <v>1447</v>
      </c>
      <c r="F407" t="s">
        <v>1960</v>
      </c>
      <c r="G407" t="s">
        <v>1737</v>
      </c>
      <c r="H407" t="s">
        <v>1799</v>
      </c>
      <c r="I407" t="s">
        <v>1799</v>
      </c>
      <c r="J407" t="s">
        <v>1799</v>
      </c>
      <c r="K407" t="s">
        <v>1799</v>
      </c>
      <c r="L407" t="s">
        <v>1427</v>
      </c>
      <c r="M407" t="s">
        <v>1799</v>
      </c>
      <c r="N407" t="s">
        <v>1799</v>
      </c>
      <c r="O407" s="184" t="str">
        <f>"["&amp;$C407&amp;"]["&amp;$D407&amp;"]["&amp;$F407&amp;"]"</f>
        <v>[S05_DefaultValues][108][InstallationCategory]</v>
      </c>
    </row>
    <row r="408" spans="1:15" x14ac:dyDescent="0.3">
      <c r="A408" t="s">
        <v>1793</v>
      </c>
      <c r="B408" t="s">
        <v>1950</v>
      </c>
      <c r="C408" t="s">
        <v>1959</v>
      </c>
      <c r="D408">
        <v>109</v>
      </c>
      <c r="E408" t="s">
        <v>1447</v>
      </c>
      <c r="F408" t="s">
        <v>1960</v>
      </c>
      <c r="G408" t="s">
        <v>1737</v>
      </c>
      <c r="H408" t="s">
        <v>1799</v>
      </c>
      <c r="I408" t="s">
        <v>1799</v>
      </c>
      <c r="J408" t="s">
        <v>1799</v>
      </c>
      <c r="K408" t="s">
        <v>1799</v>
      </c>
      <c r="L408" t="s">
        <v>1427</v>
      </c>
      <c r="M408" t="s">
        <v>1799</v>
      </c>
      <c r="N408" t="s">
        <v>1799</v>
      </c>
      <c r="O408" s="184" t="str">
        <f>"["&amp;$C408&amp;"]["&amp;$D408&amp;"]["&amp;$F408&amp;"]"</f>
        <v>[S05_DefaultValues][109][InstallationCategory]</v>
      </c>
    </row>
    <row r="409" spans="1:15" x14ac:dyDescent="0.3">
      <c r="A409" t="s">
        <v>1793</v>
      </c>
      <c r="B409" t="s">
        <v>1950</v>
      </c>
      <c r="C409" t="s">
        <v>1959</v>
      </c>
      <c r="D409">
        <v>110</v>
      </c>
      <c r="E409" t="s">
        <v>1447</v>
      </c>
      <c r="F409" t="s">
        <v>1960</v>
      </c>
      <c r="G409" t="s">
        <v>1737</v>
      </c>
      <c r="H409" t="s">
        <v>1799</v>
      </c>
      <c r="I409" t="s">
        <v>1799</v>
      </c>
      <c r="J409" t="s">
        <v>1799</v>
      </c>
      <c r="K409" t="s">
        <v>1799</v>
      </c>
      <c r="L409" t="s">
        <v>1427</v>
      </c>
      <c r="M409" t="s">
        <v>1799</v>
      </c>
      <c r="N409" t="s">
        <v>1799</v>
      </c>
      <c r="O409" s="184" t="str">
        <f>"["&amp;$C409&amp;"]["&amp;$D409&amp;"]["&amp;$F409&amp;"]"</f>
        <v>[S05_DefaultValues][110][InstallationCategory]</v>
      </c>
    </row>
    <row r="410" spans="1:15" x14ac:dyDescent="0.3">
      <c r="A410" t="s">
        <v>1793</v>
      </c>
      <c r="B410" t="s">
        <v>1950</v>
      </c>
      <c r="C410" t="s">
        <v>1959</v>
      </c>
      <c r="D410">
        <v>111</v>
      </c>
      <c r="E410" t="s">
        <v>1447</v>
      </c>
      <c r="F410" t="s">
        <v>1960</v>
      </c>
      <c r="G410" t="s">
        <v>1737</v>
      </c>
      <c r="H410" t="s">
        <v>1799</v>
      </c>
      <c r="I410" t="s">
        <v>1799</v>
      </c>
      <c r="J410" t="s">
        <v>1799</v>
      </c>
      <c r="K410" t="s">
        <v>1799</v>
      </c>
      <c r="L410" t="s">
        <v>1427</v>
      </c>
      <c r="M410" t="s">
        <v>1799</v>
      </c>
      <c r="N410" t="s">
        <v>1799</v>
      </c>
      <c r="O410" s="184" t="str">
        <f>"["&amp;$C410&amp;"]["&amp;$D410&amp;"]["&amp;$F410&amp;"]"</f>
        <v>[S05_DefaultValues][111][InstallationCategory]</v>
      </c>
    </row>
    <row r="411" spans="1:15" x14ac:dyDescent="0.3">
      <c r="A411" t="s">
        <v>1793</v>
      </c>
      <c r="B411" t="s">
        <v>1950</v>
      </c>
      <c r="C411" t="s">
        <v>1959</v>
      </c>
      <c r="D411">
        <v>112</v>
      </c>
      <c r="E411" t="s">
        <v>1447</v>
      </c>
      <c r="F411" t="s">
        <v>1960</v>
      </c>
      <c r="G411" t="s">
        <v>1737</v>
      </c>
      <c r="H411" t="s">
        <v>1799</v>
      </c>
      <c r="I411" t="s">
        <v>1799</v>
      </c>
      <c r="J411" t="s">
        <v>1799</v>
      </c>
      <c r="K411" t="s">
        <v>1799</v>
      </c>
      <c r="L411" t="s">
        <v>1427</v>
      </c>
      <c r="M411" t="s">
        <v>1799</v>
      </c>
      <c r="N411" t="s">
        <v>1799</v>
      </c>
      <c r="O411" s="184" t="str">
        <f>"["&amp;$C411&amp;"]["&amp;$D411&amp;"]["&amp;$F411&amp;"]"</f>
        <v>[S05_DefaultValues][112][InstallationCategory]</v>
      </c>
    </row>
    <row r="412" spans="1:15" x14ac:dyDescent="0.3">
      <c r="A412" t="s">
        <v>1793</v>
      </c>
      <c r="B412" t="s">
        <v>1950</v>
      </c>
      <c r="C412" t="s">
        <v>1959</v>
      </c>
      <c r="D412">
        <v>113</v>
      </c>
      <c r="E412" t="s">
        <v>1447</v>
      </c>
      <c r="F412" t="s">
        <v>1960</v>
      </c>
      <c r="G412" t="s">
        <v>1737</v>
      </c>
      <c r="H412" t="s">
        <v>1799</v>
      </c>
      <c r="I412" t="s">
        <v>1799</v>
      </c>
      <c r="J412" t="s">
        <v>1799</v>
      </c>
      <c r="K412" t="s">
        <v>1799</v>
      </c>
      <c r="L412" t="s">
        <v>1427</v>
      </c>
      <c r="M412" t="s">
        <v>1799</v>
      </c>
      <c r="N412" t="s">
        <v>1799</v>
      </c>
      <c r="O412" s="184" t="str">
        <f>"["&amp;$C412&amp;"]["&amp;$D412&amp;"]["&amp;$F412&amp;"]"</f>
        <v>[S05_DefaultValues][113][InstallationCategory]</v>
      </c>
    </row>
    <row r="413" spans="1:15" x14ac:dyDescent="0.3">
      <c r="A413" t="s">
        <v>1793</v>
      </c>
      <c r="B413" t="s">
        <v>1950</v>
      </c>
      <c r="C413" t="s">
        <v>1959</v>
      </c>
      <c r="D413">
        <v>114</v>
      </c>
      <c r="E413" t="s">
        <v>1447</v>
      </c>
      <c r="F413" t="s">
        <v>1960</v>
      </c>
      <c r="G413" t="s">
        <v>1737</v>
      </c>
      <c r="H413" t="s">
        <v>1799</v>
      </c>
      <c r="I413" t="s">
        <v>1799</v>
      </c>
      <c r="J413" t="s">
        <v>1799</v>
      </c>
      <c r="K413" t="s">
        <v>1799</v>
      </c>
      <c r="L413" t="s">
        <v>1427</v>
      </c>
      <c r="M413" t="s">
        <v>1799</v>
      </c>
      <c r="N413" t="s">
        <v>1799</v>
      </c>
      <c r="O413" s="184" t="str">
        <f>"["&amp;$C413&amp;"]["&amp;$D413&amp;"]["&amp;$F413&amp;"]"</f>
        <v>[S05_DefaultValues][114][InstallationCategory]</v>
      </c>
    </row>
    <row r="414" spans="1:15" x14ac:dyDescent="0.3">
      <c r="A414" t="s">
        <v>1793</v>
      </c>
      <c r="B414" t="s">
        <v>1950</v>
      </c>
      <c r="C414" t="s">
        <v>1959</v>
      </c>
      <c r="D414">
        <v>115</v>
      </c>
      <c r="E414" t="s">
        <v>1447</v>
      </c>
      <c r="F414" t="s">
        <v>1960</v>
      </c>
      <c r="G414" t="s">
        <v>1737</v>
      </c>
      <c r="H414" t="s">
        <v>1799</v>
      </c>
      <c r="I414" t="s">
        <v>1799</v>
      </c>
      <c r="J414" t="s">
        <v>1799</v>
      </c>
      <c r="K414" t="s">
        <v>1799</v>
      </c>
      <c r="L414" t="s">
        <v>1427</v>
      </c>
      <c r="M414" t="s">
        <v>1799</v>
      </c>
      <c r="N414" t="s">
        <v>1799</v>
      </c>
      <c r="O414" s="184" t="str">
        <f>"["&amp;$C414&amp;"]["&amp;$D414&amp;"]["&amp;$F414&amp;"]"</f>
        <v>[S05_DefaultValues][115][InstallationCategory]</v>
      </c>
    </row>
    <row r="415" spans="1:15" x14ac:dyDescent="0.3">
      <c r="A415" t="s">
        <v>1793</v>
      </c>
      <c r="B415" t="s">
        <v>1950</v>
      </c>
      <c r="C415" t="s">
        <v>1959</v>
      </c>
      <c r="D415">
        <v>116</v>
      </c>
      <c r="E415" t="s">
        <v>1447</v>
      </c>
      <c r="F415" t="s">
        <v>1960</v>
      </c>
      <c r="G415" t="s">
        <v>1737</v>
      </c>
      <c r="H415" t="s">
        <v>1799</v>
      </c>
      <c r="I415" t="s">
        <v>1799</v>
      </c>
      <c r="J415" t="s">
        <v>1799</v>
      </c>
      <c r="K415" t="s">
        <v>1799</v>
      </c>
      <c r="L415" t="s">
        <v>1427</v>
      </c>
      <c r="M415" t="s">
        <v>1799</v>
      </c>
      <c r="N415" t="s">
        <v>1799</v>
      </c>
      <c r="O415" s="184" t="str">
        <f>"["&amp;$C415&amp;"]["&amp;$D415&amp;"]["&amp;$F415&amp;"]"</f>
        <v>[S05_DefaultValues][116][InstallationCategory]</v>
      </c>
    </row>
    <row r="416" spans="1:15" x14ac:dyDescent="0.3">
      <c r="A416" t="s">
        <v>1793</v>
      </c>
      <c r="B416" t="s">
        <v>1950</v>
      </c>
      <c r="C416" t="s">
        <v>1959</v>
      </c>
      <c r="D416">
        <v>117</v>
      </c>
      <c r="E416" t="s">
        <v>1447</v>
      </c>
      <c r="F416" t="s">
        <v>1960</v>
      </c>
      <c r="G416" t="s">
        <v>1737</v>
      </c>
      <c r="H416" t="s">
        <v>1799</v>
      </c>
      <c r="I416" t="s">
        <v>1799</v>
      </c>
      <c r="J416" t="s">
        <v>1799</v>
      </c>
      <c r="K416" t="s">
        <v>1799</v>
      </c>
      <c r="L416" t="s">
        <v>1427</v>
      </c>
      <c r="M416" t="s">
        <v>1799</v>
      </c>
      <c r="N416" t="s">
        <v>1799</v>
      </c>
      <c r="O416" s="184" t="str">
        <f>"["&amp;$C416&amp;"]["&amp;$D416&amp;"]["&amp;$F416&amp;"]"</f>
        <v>[S05_DefaultValues][117][InstallationCategory]</v>
      </c>
    </row>
    <row r="417" spans="1:15" x14ac:dyDescent="0.3">
      <c r="A417" t="s">
        <v>1793</v>
      </c>
      <c r="B417" t="s">
        <v>1950</v>
      </c>
      <c r="C417" t="s">
        <v>1959</v>
      </c>
      <c r="D417">
        <v>118</v>
      </c>
      <c r="E417" t="s">
        <v>1447</v>
      </c>
      <c r="F417" t="s">
        <v>1960</v>
      </c>
      <c r="G417" t="s">
        <v>1737</v>
      </c>
      <c r="H417" t="s">
        <v>1799</v>
      </c>
      <c r="I417" t="s">
        <v>1799</v>
      </c>
      <c r="J417" t="s">
        <v>1799</v>
      </c>
      <c r="K417" t="s">
        <v>1799</v>
      </c>
      <c r="L417" t="s">
        <v>1427</v>
      </c>
      <c r="M417" t="s">
        <v>1799</v>
      </c>
      <c r="N417" t="s">
        <v>1799</v>
      </c>
      <c r="O417" s="184" t="str">
        <f>"["&amp;$C417&amp;"]["&amp;$D417&amp;"]["&amp;$F417&amp;"]"</f>
        <v>[S05_DefaultValues][118][InstallationCategory]</v>
      </c>
    </row>
    <row r="418" spans="1:15" x14ac:dyDescent="0.3">
      <c r="A418" t="s">
        <v>1793</v>
      </c>
      <c r="B418" t="s">
        <v>1950</v>
      </c>
      <c r="C418" t="s">
        <v>1959</v>
      </c>
      <c r="D418">
        <v>119</v>
      </c>
      <c r="E418" t="s">
        <v>1447</v>
      </c>
      <c r="F418" t="s">
        <v>1960</v>
      </c>
      <c r="G418" t="s">
        <v>1737</v>
      </c>
      <c r="H418" t="s">
        <v>1799</v>
      </c>
      <c r="I418" t="s">
        <v>1799</v>
      </c>
      <c r="J418" t="s">
        <v>1799</v>
      </c>
      <c r="K418" t="s">
        <v>1799</v>
      </c>
      <c r="L418" t="s">
        <v>1427</v>
      </c>
      <c r="M418" t="s">
        <v>1799</v>
      </c>
      <c r="N418" t="s">
        <v>1799</v>
      </c>
      <c r="O418" s="184" t="str">
        <f>"["&amp;$C418&amp;"]["&amp;$D418&amp;"]["&amp;$F418&amp;"]"</f>
        <v>[S05_DefaultValues][119][InstallationCategory]</v>
      </c>
    </row>
    <row r="419" spans="1:15" x14ac:dyDescent="0.3">
      <c r="A419" t="s">
        <v>1793</v>
      </c>
      <c r="B419" t="s">
        <v>1950</v>
      </c>
      <c r="C419" t="s">
        <v>1959</v>
      </c>
      <c r="D419">
        <v>120</v>
      </c>
      <c r="E419" t="s">
        <v>1447</v>
      </c>
      <c r="F419" t="s">
        <v>1960</v>
      </c>
      <c r="G419" t="s">
        <v>1737</v>
      </c>
      <c r="H419" t="s">
        <v>1799</v>
      </c>
      <c r="I419" t="s">
        <v>1799</v>
      </c>
      <c r="J419" t="s">
        <v>1799</v>
      </c>
      <c r="K419" t="s">
        <v>1799</v>
      </c>
      <c r="L419" t="s">
        <v>1427</v>
      </c>
      <c r="M419" t="s">
        <v>1799</v>
      </c>
      <c r="N419" t="s">
        <v>1799</v>
      </c>
      <c r="O419" s="184" t="str">
        <f>"["&amp;$C419&amp;"]["&amp;$D419&amp;"]["&amp;$F419&amp;"]"</f>
        <v>[S05_DefaultValues][120][InstallationCategory]</v>
      </c>
    </row>
    <row r="420" spans="1:15" x14ac:dyDescent="0.3">
      <c r="A420" t="s">
        <v>1793</v>
      </c>
      <c r="B420" t="s">
        <v>1950</v>
      </c>
      <c r="C420" t="s">
        <v>1959</v>
      </c>
      <c r="D420">
        <v>121</v>
      </c>
      <c r="E420" t="s">
        <v>1447</v>
      </c>
      <c r="F420" t="s">
        <v>1960</v>
      </c>
      <c r="G420" t="s">
        <v>1737</v>
      </c>
      <c r="H420" t="s">
        <v>1799</v>
      </c>
      <c r="I420" t="s">
        <v>1799</v>
      </c>
      <c r="J420" t="s">
        <v>1799</v>
      </c>
      <c r="K420" t="s">
        <v>1799</v>
      </c>
      <c r="L420" t="s">
        <v>1427</v>
      </c>
      <c r="M420" t="s">
        <v>1799</v>
      </c>
      <c r="N420" t="s">
        <v>1799</v>
      </c>
      <c r="O420" s="184" t="str">
        <f>"["&amp;$C420&amp;"]["&amp;$D420&amp;"]["&amp;$F420&amp;"]"</f>
        <v>[S05_DefaultValues][121][InstallationCategory]</v>
      </c>
    </row>
    <row r="421" spans="1:15" x14ac:dyDescent="0.3">
      <c r="A421" t="s">
        <v>1793</v>
      </c>
      <c r="B421" t="s">
        <v>1950</v>
      </c>
      <c r="C421" t="s">
        <v>1959</v>
      </c>
      <c r="D421">
        <v>122</v>
      </c>
      <c r="E421" t="s">
        <v>1447</v>
      </c>
      <c r="F421" t="s">
        <v>1960</v>
      </c>
      <c r="G421" t="s">
        <v>1737</v>
      </c>
      <c r="H421" t="s">
        <v>1799</v>
      </c>
      <c r="I421" t="s">
        <v>1799</v>
      </c>
      <c r="J421" t="s">
        <v>1799</v>
      </c>
      <c r="K421" t="s">
        <v>1799</v>
      </c>
      <c r="L421" t="s">
        <v>1427</v>
      </c>
      <c r="M421" t="s">
        <v>1799</v>
      </c>
      <c r="N421" t="s">
        <v>1799</v>
      </c>
      <c r="O421" s="184" t="str">
        <f>"["&amp;$C421&amp;"]["&amp;$D421&amp;"]["&amp;$F421&amp;"]"</f>
        <v>[S05_DefaultValues][122][InstallationCategory]</v>
      </c>
    </row>
    <row r="422" spans="1:15" x14ac:dyDescent="0.3">
      <c r="A422" t="s">
        <v>1793</v>
      </c>
      <c r="B422" t="s">
        <v>1950</v>
      </c>
      <c r="C422" t="s">
        <v>1959</v>
      </c>
      <c r="D422">
        <v>123</v>
      </c>
      <c r="E422" t="s">
        <v>1447</v>
      </c>
      <c r="F422" t="s">
        <v>1960</v>
      </c>
      <c r="G422" t="s">
        <v>1737</v>
      </c>
      <c r="H422" t="s">
        <v>1799</v>
      </c>
      <c r="I422" t="s">
        <v>1799</v>
      </c>
      <c r="J422" t="s">
        <v>1799</v>
      </c>
      <c r="K422" t="s">
        <v>1799</v>
      </c>
      <c r="L422" t="s">
        <v>1427</v>
      </c>
      <c r="M422" t="s">
        <v>1799</v>
      </c>
      <c r="N422" t="s">
        <v>1799</v>
      </c>
      <c r="O422" s="184" t="str">
        <f>"["&amp;$C422&amp;"]["&amp;$D422&amp;"]["&amp;$F422&amp;"]"</f>
        <v>[S05_DefaultValues][123][InstallationCategory]</v>
      </c>
    </row>
    <row r="423" spans="1:15" x14ac:dyDescent="0.3">
      <c r="A423" t="s">
        <v>1793</v>
      </c>
      <c r="B423" t="s">
        <v>1950</v>
      </c>
      <c r="C423" t="s">
        <v>1959</v>
      </c>
      <c r="D423">
        <v>124</v>
      </c>
      <c r="E423" t="s">
        <v>1447</v>
      </c>
      <c r="F423" t="s">
        <v>1960</v>
      </c>
      <c r="G423" t="s">
        <v>1737</v>
      </c>
      <c r="H423" t="s">
        <v>1799</v>
      </c>
      <c r="I423" t="s">
        <v>1799</v>
      </c>
      <c r="J423" t="s">
        <v>1799</v>
      </c>
      <c r="K423" t="s">
        <v>1799</v>
      </c>
      <c r="L423" t="s">
        <v>1427</v>
      </c>
      <c r="M423" t="s">
        <v>1799</v>
      </c>
      <c r="N423" t="s">
        <v>1799</v>
      </c>
      <c r="O423" s="184" t="str">
        <f>"["&amp;$C423&amp;"]["&amp;$D423&amp;"]["&amp;$F423&amp;"]"</f>
        <v>[S05_DefaultValues][124][InstallationCategory]</v>
      </c>
    </row>
    <row r="424" spans="1:15" x14ac:dyDescent="0.3">
      <c r="A424" t="s">
        <v>1793</v>
      </c>
      <c r="B424" t="s">
        <v>1950</v>
      </c>
      <c r="C424" t="s">
        <v>1959</v>
      </c>
      <c r="D424">
        <v>125</v>
      </c>
      <c r="E424" t="s">
        <v>1447</v>
      </c>
      <c r="F424" t="s">
        <v>1960</v>
      </c>
      <c r="G424" t="s">
        <v>1737</v>
      </c>
      <c r="H424" t="s">
        <v>1799</v>
      </c>
      <c r="I424" t="s">
        <v>1799</v>
      </c>
      <c r="J424" t="s">
        <v>1799</v>
      </c>
      <c r="K424" t="s">
        <v>1799</v>
      </c>
      <c r="L424" t="s">
        <v>1427</v>
      </c>
      <c r="M424" t="s">
        <v>1799</v>
      </c>
      <c r="N424" t="s">
        <v>1799</v>
      </c>
      <c r="O424" s="184" t="str">
        <f>"["&amp;$C424&amp;"]["&amp;$D424&amp;"]["&amp;$F424&amp;"]"</f>
        <v>[S05_DefaultValues][125][InstallationCategory]</v>
      </c>
    </row>
    <row r="425" spans="1:15" x14ac:dyDescent="0.3">
      <c r="A425" t="s">
        <v>1793</v>
      </c>
      <c r="B425" t="s">
        <v>1950</v>
      </c>
      <c r="C425" t="s">
        <v>1959</v>
      </c>
      <c r="D425">
        <v>126</v>
      </c>
      <c r="E425" t="s">
        <v>1447</v>
      </c>
      <c r="F425" t="s">
        <v>1960</v>
      </c>
      <c r="G425" t="s">
        <v>1737</v>
      </c>
      <c r="H425" t="s">
        <v>1799</v>
      </c>
      <c r="I425" t="s">
        <v>1799</v>
      </c>
      <c r="J425" t="s">
        <v>1799</v>
      </c>
      <c r="K425" t="s">
        <v>1799</v>
      </c>
      <c r="L425" t="s">
        <v>1427</v>
      </c>
      <c r="M425" t="s">
        <v>1799</v>
      </c>
      <c r="N425" t="s">
        <v>1799</v>
      </c>
      <c r="O425" s="184" t="str">
        <f>"["&amp;$C425&amp;"]["&amp;$D425&amp;"]["&amp;$F425&amp;"]"</f>
        <v>[S05_DefaultValues][126][InstallationCategory]</v>
      </c>
    </row>
    <row r="426" spans="1:15" x14ac:dyDescent="0.3">
      <c r="A426" t="s">
        <v>1793</v>
      </c>
      <c r="B426" t="s">
        <v>1950</v>
      </c>
      <c r="C426" t="s">
        <v>1959</v>
      </c>
      <c r="D426">
        <v>127</v>
      </c>
      <c r="E426" t="s">
        <v>1447</v>
      </c>
      <c r="F426" t="s">
        <v>1960</v>
      </c>
      <c r="G426" t="s">
        <v>1737</v>
      </c>
      <c r="H426" t="s">
        <v>1799</v>
      </c>
      <c r="I426" t="s">
        <v>1799</v>
      </c>
      <c r="J426" t="s">
        <v>1799</v>
      </c>
      <c r="K426" t="s">
        <v>1799</v>
      </c>
      <c r="L426" t="s">
        <v>1427</v>
      </c>
      <c r="M426" t="s">
        <v>1799</v>
      </c>
      <c r="N426" t="s">
        <v>1799</v>
      </c>
      <c r="O426" s="184" t="str">
        <f>"["&amp;$C426&amp;"]["&amp;$D426&amp;"]["&amp;$F426&amp;"]"</f>
        <v>[S05_DefaultValues][127][InstallationCategory]</v>
      </c>
    </row>
    <row r="427" spans="1:15" x14ac:dyDescent="0.3">
      <c r="A427" t="s">
        <v>1793</v>
      </c>
      <c r="B427" t="s">
        <v>1950</v>
      </c>
      <c r="C427" t="s">
        <v>1959</v>
      </c>
      <c r="D427">
        <v>128</v>
      </c>
      <c r="E427" t="s">
        <v>1447</v>
      </c>
      <c r="F427" t="s">
        <v>1960</v>
      </c>
      <c r="G427" t="s">
        <v>1737</v>
      </c>
      <c r="H427" t="s">
        <v>1799</v>
      </c>
      <c r="I427" t="s">
        <v>1799</v>
      </c>
      <c r="J427" t="s">
        <v>1799</v>
      </c>
      <c r="K427" t="s">
        <v>1799</v>
      </c>
      <c r="L427" t="s">
        <v>1427</v>
      </c>
      <c r="M427" t="s">
        <v>1799</v>
      </c>
      <c r="N427" t="s">
        <v>1799</v>
      </c>
      <c r="O427" s="184" t="str">
        <f>"["&amp;$C427&amp;"]["&amp;$D427&amp;"]["&amp;$F427&amp;"]"</f>
        <v>[S05_DefaultValues][128][InstallationCategory]</v>
      </c>
    </row>
    <row r="428" spans="1:15" x14ac:dyDescent="0.3">
      <c r="A428" t="s">
        <v>1793</v>
      </c>
      <c r="B428" t="s">
        <v>1950</v>
      </c>
      <c r="C428" t="s">
        <v>1959</v>
      </c>
      <c r="D428">
        <v>129</v>
      </c>
      <c r="E428" t="s">
        <v>1447</v>
      </c>
      <c r="F428" t="s">
        <v>1960</v>
      </c>
      <c r="G428" t="s">
        <v>1737</v>
      </c>
      <c r="H428" t="s">
        <v>1799</v>
      </c>
      <c r="I428" t="s">
        <v>1799</v>
      </c>
      <c r="J428" t="s">
        <v>1799</v>
      </c>
      <c r="K428" t="s">
        <v>1799</v>
      </c>
      <c r="L428" t="s">
        <v>1427</v>
      </c>
      <c r="M428" t="s">
        <v>1799</v>
      </c>
      <c r="N428" t="s">
        <v>1799</v>
      </c>
      <c r="O428" s="184" t="str">
        <f>"["&amp;$C428&amp;"]["&amp;$D428&amp;"]["&amp;$F428&amp;"]"</f>
        <v>[S05_DefaultValues][129][InstallationCategory]</v>
      </c>
    </row>
    <row r="429" spans="1:15" x14ac:dyDescent="0.3">
      <c r="A429" t="s">
        <v>1793</v>
      </c>
      <c r="B429" t="s">
        <v>1950</v>
      </c>
      <c r="C429" t="s">
        <v>1959</v>
      </c>
      <c r="D429">
        <v>130</v>
      </c>
      <c r="E429" t="s">
        <v>1447</v>
      </c>
      <c r="F429" t="s">
        <v>1960</v>
      </c>
      <c r="G429" t="s">
        <v>1737</v>
      </c>
      <c r="H429" t="s">
        <v>1799</v>
      </c>
      <c r="I429" t="s">
        <v>1799</v>
      </c>
      <c r="J429" t="s">
        <v>1799</v>
      </c>
      <c r="K429" t="s">
        <v>1799</v>
      </c>
      <c r="L429" t="s">
        <v>1427</v>
      </c>
      <c r="M429" t="s">
        <v>1799</v>
      </c>
      <c r="N429" t="s">
        <v>1799</v>
      </c>
      <c r="O429" s="184" t="str">
        <f>"["&amp;$C429&amp;"]["&amp;$D429&amp;"]["&amp;$F429&amp;"]"</f>
        <v>[S05_DefaultValues][130][InstallationCategory]</v>
      </c>
    </row>
    <row r="430" spans="1:15" x14ac:dyDescent="0.3">
      <c r="A430" t="s">
        <v>1793</v>
      </c>
      <c r="B430" t="s">
        <v>1950</v>
      </c>
      <c r="C430" t="s">
        <v>1959</v>
      </c>
      <c r="D430">
        <v>131</v>
      </c>
      <c r="E430" t="s">
        <v>1447</v>
      </c>
      <c r="F430" t="s">
        <v>1960</v>
      </c>
      <c r="G430" t="s">
        <v>1737</v>
      </c>
      <c r="H430" t="s">
        <v>1799</v>
      </c>
      <c r="I430" t="s">
        <v>1799</v>
      </c>
      <c r="J430" t="s">
        <v>1799</v>
      </c>
      <c r="K430" t="s">
        <v>1799</v>
      </c>
      <c r="L430" t="s">
        <v>1427</v>
      </c>
      <c r="M430" t="s">
        <v>1799</v>
      </c>
      <c r="N430" t="s">
        <v>1799</v>
      </c>
      <c r="O430" s="184" t="str">
        <f>"["&amp;$C430&amp;"]["&amp;$D430&amp;"]["&amp;$F430&amp;"]"</f>
        <v>[S05_DefaultValues][131][InstallationCategory]</v>
      </c>
    </row>
    <row r="431" spans="1:15" x14ac:dyDescent="0.3">
      <c r="A431" t="s">
        <v>1793</v>
      </c>
      <c r="B431" t="s">
        <v>1950</v>
      </c>
      <c r="C431" t="s">
        <v>1959</v>
      </c>
      <c r="D431">
        <v>132</v>
      </c>
      <c r="E431" t="s">
        <v>1447</v>
      </c>
      <c r="F431" t="s">
        <v>1960</v>
      </c>
      <c r="G431" t="s">
        <v>1737</v>
      </c>
      <c r="H431" t="s">
        <v>1799</v>
      </c>
      <c r="I431" t="s">
        <v>1799</v>
      </c>
      <c r="J431" t="s">
        <v>1799</v>
      </c>
      <c r="K431" t="s">
        <v>1799</v>
      </c>
      <c r="L431" t="s">
        <v>1427</v>
      </c>
      <c r="M431" t="s">
        <v>1799</v>
      </c>
      <c r="N431" t="s">
        <v>1799</v>
      </c>
      <c r="O431" s="184" t="str">
        <f>"["&amp;$C431&amp;"]["&amp;$D431&amp;"]["&amp;$F431&amp;"]"</f>
        <v>[S05_DefaultValues][132][InstallationCategory]</v>
      </c>
    </row>
    <row r="432" spans="1:15" x14ac:dyDescent="0.3">
      <c r="A432" t="s">
        <v>1793</v>
      </c>
      <c r="B432" t="s">
        <v>1950</v>
      </c>
      <c r="C432" t="s">
        <v>1959</v>
      </c>
      <c r="D432">
        <v>133</v>
      </c>
      <c r="E432" t="s">
        <v>1447</v>
      </c>
      <c r="F432" t="s">
        <v>1960</v>
      </c>
      <c r="G432" t="s">
        <v>1737</v>
      </c>
      <c r="H432" t="s">
        <v>1799</v>
      </c>
      <c r="I432" t="s">
        <v>1799</v>
      </c>
      <c r="J432" t="s">
        <v>1799</v>
      </c>
      <c r="K432" t="s">
        <v>1799</v>
      </c>
      <c r="L432" t="s">
        <v>1427</v>
      </c>
      <c r="M432" t="s">
        <v>1799</v>
      </c>
      <c r="N432" t="s">
        <v>1799</v>
      </c>
      <c r="O432" s="184" t="str">
        <f>"["&amp;$C432&amp;"]["&amp;$D432&amp;"]["&amp;$F432&amp;"]"</f>
        <v>[S05_DefaultValues][133][InstallationCategory]</v>
      </c>
    </row>
    <row r="433" spans="1:15" x14ac:dyDescent="0.3">
      <c r="A433" t="s">
        <v>1793</v>
      </c>
      <c r="B433" t="s">
        <v>1950</v>
      </c>
      <c r="C433" t="s">
        <v>1959</v>
      </c>
      <c r="D433">
        <v>134</v>
      </c>
      <c r="E433" t="s">
        <v>1447</v>
      </c>
      <c r="F433" t="s">
        <v>1960</v>
      </c>
      <c r="G433" t="s">
        <v>1737</v>
      </c>
      <c r="H433" t="s">
        <v>1799</v>
      </c>
      <c r="I433" t="s">
        <v>1799</v>
      </c>
      <c r="J433" t="s">
        <v>1799</v>
      </c>
      <c r="K433" t="s">
        <v>1799</v>
      </c>
      <c r="L433" t="s">
        <v>1427</v>
      </c>
      <c r="M433" t="s">
        <v>1799</v>
      </c>
      <c r="N433" t="s">
        <v>1799</v>
      </c>
      <c r="O433" s="184" t="str">
        <f>"["&amp;$C433&amp;"]["&amp;$D433&amp;"]["&amp;$F433&amp;"]"</f>
        <v>[S05_DefaultValues][134][InstallationCategory]</v>
      </c>
    </row>
    <row r="434" spans="1:15" x14ac:dyDescent="0.3">
      <c r="A434" t="s">
        <v>1793</v>
      </c>
      <c r="B434" t="s">
        <v>1950</v>
      </c>
      <c r="C434" t="s">
        <v>1959</v>
      </c>
      <c r="D434">
        <v>135</v>
      </c>
      <c r="E434" t="s">
        <v>1447</v>
      </c>
      <c r="F434" t="s">
        <v>1960</v>
      </c>
      <c r="G434" t="s">
        <v>1737</v>
      </c>
      <c r="H434" t="s">
        <v>1799</v>
      </c>
      <c r="I434" t="s">
        <v>1799</v>
      </c>
      <c r="J434" t="s">
        <v>1799</v>
      </c>
      <c r="K434" t="s">
        <v>1799</v>
      </c>
      <c r="L434" t="s">
        <v>1427</v>
      </c>
      <c r="M434" t="s">
        <v>1799</v>
      </c>
      <c r="N434" t="s">
        <v>1799</v>
      </c>
      <c r="O434" s="184" t="str">
        <f>"["&amp;$C434&amp;"]["&amp;$D434&amp;"]["&amp;$F434&amp;"]"</f>
        <v>[S05_DefaultValues][135][InstallationCategory]</v>
      </c>
    </row>
    <row r="435" spans="1:15" x14ac:dyDescent="0.3">
      <c r="A435" t="s">
        <v>1793</v>
      </c>
      <c r="B435" t="s">
        <v>1950</v>
      </c>
      <c r="C435" t="s">
        <v>1959</v>
      </c>
      <c r="D435">
        <v>136</v>
      </c>
      <c r="E435" t="s">
        <v>1447</v>
      </c>
      <c r="F435" t="s">
        <v>1960</v>
      </c>
      <c r="G435" t="s">
        <v>1737</v>
      </c>
      <c r="H435" t="s">
        <v>1799</v>
      </c>
      <c r="I435" t="s">
        <v>1799</v>
      </c>
      <c r="J435" t="s">
        <v>1799</v>
      </c>
      <c r="K435" t="s">
        <v>1799</v>
      </c>
      <c r="L435" t="s">
        <v>1427</v>
      </c>
      <c r="M435" t="s">
        <v>1799</v>
      </c>
      <c r="N435" t="s">
        <v>1799</v>
      </c>
      <c r="O435" s="184" t="str">
        <f>"["&amp;$C435&amp;"]["&amp;$D435&amp;"]["&amp;$F435&amp;"]"</f>
        <v>[S05_DefaultValues][136][InstallationCategory]</v>
      </c>
    </row>
    <row r="436" spans="1:15" x14ac:dyDescent="0.3">
      <c r="A436" t="s">
        <v>1793</v>
      </c>
      <c r="B436" t="s">
        <v>1950</v>
      </c>
      <c r="C436" t="s">
        <v>1959</v>
      </c>
      <c r="D436">
        <v>137</v>
      </c>
      <c r="E436" t="s">
        <v>1447</v>
      </c>
      <c r="F436" t="s">
        <v>1960</v>
      </c>
      <c r="G436" t="s">
        <v>1737</v>
      </c>
      <c r="H436" t="s">
        <v>1799</v>
      </c>
      <c r="I436" t="s">
        <v>1799</v>
      </c>
      <c r="J436" t="s">
        <v>1799</v>
      </c>
      <c r="K436" t="s">
        <v>1799</v>
      </c>
      <c r="L436" t="s">
        <v>1427</v>
      </c>
      <c r="M436" t="s">
        <v>1799</v>
      </c>
      <c r="N436" t="s">
        <v>1799</v>
      </c>
      <c r="O436" s="184" t="str">
        <f>"["&amp;$C436&amp;"]["&amp;$D436&amp;"]["&amp;$F436&amp;"]"</f>
        <v>[S05_DefaultValues][137][InstallationCategory]</v>
      </c>
    </row>
    <row r="437" spans="1:15" x14ac:dyDescent="0.3">
      <c r="A437" t="s">
        <v>1793</v>
      </c>
      <c r="B437" t="s">
        <v>1950</v>
      </c>
      <c r="C437" t="s">
        <v>1959</v>
      </c>
      <c r="D437">
        <v>138</v>
      </c>
      <c r="E437" t="s">
        <v>1447</v>
      </c>
      <c r="F437" t="s">
        <v>1960</v>
      </c>
      <c r="G437" t="s">
        <v>1737</v>
      </c>
      <c r="H437" t="s">
        <v>1799</v>
      </c>
      <c r="I437" t="s">
        <v>1799</v>
      </c>
      <c r="J437" t="s">
        <v>1799</v>
      </c>
      <c r="K437" t="s">
        <v>1799</v>
      </c>
      <c r="L437" t="s">
        <v>1427</v>
      </c>
      <c r="M437" t="s">
        <v>1799</v>
      </c>
      <c r="N437" t="s">
        <v>1799</v>
      </c>
      <c r="O437" s="184" t="str">
        <f>"["&amp;$C437&amp;"]["&amp;$D437&amp;"]["&amp;$F437&amp;"]"</f>
        <v>[S05_DefaultValues][138][InstallationCategory]</v>
      </c>
    </row>
    <row r="438" spans="1:15" x14ac:dyDescent="0.3">
      <c r="A438" t="s">
        <v>1793</v>
      </c>
      <c r="B438" t="s">
        <v>1950</v>
      </c>
      <c r="C438" t="s">
        <v>1959</v>
      </c>
      <c r="D438">
        <v>139</v>
      </c>
      <c r="E438" t="s">
        <v>1447</v>
      </c>
      <c r="F438" t="s">
        <v>1960</v>
      </c>
      <c r="G438" t="s">
        <v>1737</v>
      </c>
      <c r="H438" t="s">
        <v>1799</v>
      </c>
      <c r="I438" t="s">
        <v>1799</v>
      </c>
      <c r="J438" t="s">
        <v>1799</v>
      </c>
      <c r="K438" t="s">
        <v>1799</v>
      </c>
      <c r="L438" t="s">
        <v>1427</v>
      </c>
      <c r="M438" t="s">
        <v>1799</v>
      </c>
      <c r="N438" t="s">
        <v>1799</v>
      </c>
      <c r="O438" s="184" t="str">
        <f>"["&amp;$C438&amp;"]["&amp;$D438&amp;"]["&amp;$F438&amp;"]"</f>
        <v>[S05_DefaultValues][139][InstallationCategory]</v>
      </c>
    </row>
    <row r="439" spans="1:15" x14ac:dyDescent="0.3">
      <c r="A439" t="s">
        <v>1793</v>
      </c>
      <c r="B439" t="s">
        <v>1950</v>
      </c>
      <c r="C439" t="s">
        <v>1959</v>
      </c>
      <c r="D439">
        <v>140</v>
      </c>
      <c r="E439" t="s">
        <v>1447</v>
      </c>
      <c r="F439" t="s">
        <v>1960</v>
      </c>
      <c r="G439" t="s">
        <v>1737</v>
      </c>
      <c r="H439" t="s">
        <v>1799</v>
      </c>
      <c r="I439" t="s">
        <v>1799</v>
      </c>
      <c r="J439" t="s">
        <v>1799</v>
      </c>
      <c r="K439" t="s">
        <v>1799</v>
      </c>
      <c r="L439" t="s">
        <v>1427</v>
      </c>
      <c r="M439" t="s">
        <v>1799</v>
      </c>
      <c r="N439" t="s">
        <v>1799</v>
      </c>
      <c r="O439" s="184" t="str">
        <f>"["&amp;$C439&amp;"]["&amp;$D439&amp;"]["&amp;$F439&amp;"]"</f>
        <v>[S05_DefaultValues][140][InstallationCategory]</v>
      </c>
    </row>
    <row r="440" spans="1:15" x14ac:dyDescent="0.3">
      <c r="A440" t="s">
        <v>1793</v>
      </c>
      <c r="B440" t="s">
        <v>1950</v>
      </c>
      <c r="C440" t="s">
        <v>1959</v>
      </c>
      <c r="D440">
        <v>141</v>
      </c>
      <c r="E440" t="s">
        <v>1447</v>
      </c>
      <c r="F440" t="s">
        <v>1960</v>
      </c>
      <c r="G440" t="s">
        <v>1737</v>
      </c>
      <c r="H440" t="s">
        <v>1799</v>
      </c>
      <c r="I440" t="s">
        <v>1799</v>
      </c>
      <c r="J440" t="s">
        <v>1799</v>
      </c>
      <c r="K440" t="s">
        <v>1799</v>
      </c>
      <c r="L440" t="s">
        <v>1427</v>
      </c>
      <c r="M440" t="s">
        <v>1799</v>
      </c>
      <c r="N440" t="s">
        <v>1799</v>
      </c>
      <c r="O440" s="184" t="str">
        <f>"["&amp;$C440&amp;"]["&amp;$D440&amp;"]["&amp;$F440&amp;"]"</f>
        <v>[S05_DefaultValues][141][InstallationCategory]</v>
      </c>
    </row>
    <row r="441" spans="1:15" x14ac:dyDescent="0.3">
      <c r="A441" t="s">
        <v>1793</v>
      </c>
      <c r="B441" t="s">
        <v>1950</v>
      </c>
      <c r="C441" t="s">
        <v>1959</v>
      </c>
      <c r="D441">
        <v>142</v>
      </c>
      <c r="E441" t="s">
        <v>1447</v>
      </c>
      <c r="F441" t="s">
        <v>1960</v>
      </c>
      <c r="G441" t="s">
        <v>1737</v>
      </c>
      <c r="H441" t="s">
        <v>1799</v>
      </c>
      <c r="I441" t="s">
        <v>1799</v>
      </c>
      <c r="J441" t="s">
        <v>1799</v>
      </c>
      <c r="K441" t="s">
        <v>1799</v>
      </c>
      <c r="L441" t="s">
        <v>1427</v>
      </c>
      <c r="M441" t="s">
        <v>1799</v>
      </c>
      <c r="N441" t="s">
        <v>1799</v>
      </c>
      <c r="O441" s="184" t="str">
        <f>"["&amp;$C441&amp;"]["&amp;$D441&amp;"]["&amp;$F441&amp;"]"</f>
        <v>[S05_DefaultValues][142][InstallationCategory]</v>
      </c>
    </row>
    <row r="442" spans="1:15" x14ac:dyDescent="0.3">
      <c r="A442" t="s">
        <v>1793</v>
      </c>
      <c r="B442" t="s">
        <v>1950</v>
      </c>
      <c r="C442" t="s">
        <v>1959</v>
      </c>
      <c r="D442">
        <v>143</v>
      </c>
      <c r="E442" t="s">
        <v>1447</v>
      </c>
      <c r="F442" t="s">
        <v>1960</v>
      </c>
      <c r="G442" t="s">
        <v>1737</v>
      </c>
      <c r="H442" t="s">
        <v>1799</v>
      </c>
      <c r="I442" t="s">
        <v>1799</v>
      </c>
      <c r="J442" t="s">
        <v>1799</v>
      </c>
      <c r="K442" t="s">
        <v>1799</v>
      </c>
      <c r="L442" t="s">
        <v>1427</v>
      </c>
      <c r="M442" t="s">
        <v>1799</v>
      </c>
      <c r="N442" t="s">
        <v>1799</v>
      </c>
      <c r="O442" s="184" t="str">
        <f>"["&amp;$C442&amp;"]["&amp;$D442&amp;"]["&amp;$F442&amp;"]"</f>
        <v>[S05_DefaultValues][143][InstallationCategory]</v>
      </c>
    </row>
    <row r="443" spans="1:15" x14ac:dyDescent="0.3">
      <c r="A443" t="s">
        <v>1793</v>
      </c>
      <c r="B443" t="s">
        <v>1950</v>
      </c>
      <c r="C443" t="s">
        <v>1959</v>
      </c>
      <c r="D443">
        <v>144</v>
      </c>
      <c r="E443" t="s">
        <v>1447</v>
      </c>
      <c r="F443" t="s">
        <v>1960</v>
      </c>
      <c r="G443" t="s">
        <v>1737</v>
      </c>
      <c r="H443" t="s">
        <v>1799</v>
      </c>
      <c r="I443" t="s">
        <v>1799</v>
      </c>
      <c r="J443" t="s">
        <v>1799</v>
      </c>
      <c r="K443" t="s">
        <v>1799</v>
      </c>
      <c r="L443" t="s">
        <v>1427</v>
      </c>
      <c r="M443" t="s">
        <v>1799</v>
      </c>
      <c r="N443" t="s">
        <v>1799</v>
      </c>
      <c r="O443" s="184" t="str">
        <f>"["&amp;$C443&amp;"]["&amp;$D443&amp;"]["&amp;$F443&amp;"]"</f>
        <v>[S05_DefaultValues][144][InstallationCategory]</v>
      </c>
    </row>
    <row r="444" spans="1:15" x14ac:dyDescent="0.3">
      <c r="A444" t="s">
        <v>1793</v>
      </c>
      <c r="B444" t="s">
        <v>1950</v>
      </c>
      <c r="C444" t="s">
        <v>1959</v>
      </c>
      <c r="D444">
        <v>145</v>
      </c>
      <c r="E444" t="s">
        <v>1447</v>
      </c>
      <c r="F444" t="s">
        <v>1960</v>
      </c>
      <c r="G444" t="s">
        <v>1737</v>
      </c>
      <c r="H444" t="s">
        <v>1799</v>
      </c>
      <c r="I444" t="s">
        <v>1799</v>
      </c>
      <c r="J444" t="s">
        <v>1799</v>
      </c>
      <c r="K444" t="s">
        <v>1799</v>
      </c>
      <c r="L444" t="s">
        <v>1427</v>
      </c>
      <c r="M444" t="s">
        <v>1799</v>
      </c>
      <c r="N444" t="s">
        <v>1799</v>
      </c>
      <c r="O444" s="184" t="str">
        <f>"["&amp;$C444&amp;"]["&amp;$D444&amp;"]["&amp;$F444&amp;"]"</f>
        <v>[S05_DefaultValues][145][InstallationCategory]</v>
      </c>
    </row>
    <row r="445" spans="1:15" x14ac:dyDescent="0.3">
      <c r="A445" t="s">
        <v>1793</v>
      </c>
      <c r="B445" t="s">
        <v>1950</v>
      </c>
      <c r="C445" t="s">
        <v>1959</v>
      </c>
      <c r="D445">
        <v>146</v>
      </c>
      <c r="E445" t="s">
        <v>1447</v>
      </c>
      <c r="F445" t="s">
        <v>1960</v>
      </c>
      <c r="G445" t="s">
        <v>1737</v>
      </c>
      <c r="H445" t="s">
        <v>1799</v>
      </c>
      <c r="I445" t="s">
        <v>1799</v>
      </c>
      <c r="J445" t="s">
        <v>1799</v>
      </c>
      <c r="K445" t="s">
        <v>1799</v>
      </c>
      <c r="L445" t="s">
        <v>1427</v>
      </c>
      <c r="M445" t="s">
        <v>1799</v>
      </c>
      <c r="N445" t="s">
        <v>1799</v>
      </c>
      <c r="O445" s="184" t="str">
        <f>"["&amp;$C445&amp;"]["&amp;$D445&amp;"]["&amp;$F445&amp;"]"</f>
        <v>[S05_DefaultValues][146][InstallationCategory]</v>
      </c>
    </row>
    <row r="446" spans="1:15" x14ac:dyDescent="0.3">
      <c r="A446" t="s">
        <v>1793</v>
      </c>
      <c r="B446" t="s">
        <v>1950</v>
      </c>
      <c r="C446" t="s">
        <v>1959</v>
      </c>
      <c r="D446">
        <v>147</v>
      </c>
      <c r="E446" t="s">
        <v>1447</v>
      </c>
      <c r="F446" t="s">
        <v>1960</v>
      </c>
      <c r="G446" t="s">
        <v>1737</v>
      </c>
      <c r="H446" t="s">
        <v>1799</v>
      </c>
      <c r="I446" t="s">
        <v>1799</v>
      </c>
      <c r="J446" t="s">
        <v>1799</v>
      </c>
      <c r="K446" t="s">
        <v>1799</v>
      </c>
      <c r="L446" t="s">
        <v>1427</v>
      </c>
      <c r="M446" t="s">
        <v>1799</v>
      </c>
      <c r="N446" t="s">
        <v>1799</v>
      </c>
      <c r="O446" s="184" t="str">
        <f>"["&amp;$C446&amp;"]["&amp;$D446&amp;"]["&amp;$F446&amp;"]"</f>
        <v>[S05_DefaultValues][147][InstallationCategory]</v>
      </c>
    </row>
    <row r="447" spans="1:15" x14ac:dyDescent="0.3">
      <c r="A447" t="s">
        <v>1793</v>
      </c>
      <c r="B447" t="s">
        <v>1950</v>
      </c>
      <c r="C447" t="s">
        <v>1959</v>
      </c>
      <c r="D447">
        <v>148</v>
      </c>
      <c r="E447" t="s">
        <v>1447</v>
      </c>
      <c r="F447" t="s">
        <v>1960</v>
      </c>
      <c r="G447" t="s">
        <v>1737</v>
      </c>
      <c r="H447" t="s">
        <v>1799</v>
      </c>
      <c r="I447" t="s">
        <v>1799</v>
      </c>
      <c r="J447" t="s">
        <v>1799</v>
      </c>
      <c r="K447" t="s">
        <v>1799</v>
      </c>
      <c r="L447" t="s">
        <v>1427</v>
      </c>
      <c r="M447" t="s">
        <v>1799</v>
      </c>
      <c r="N447" t="s">
        <v>1799</v>
      </c>
      <c r="O447" s="184" t="str">
        <f>"["&amp;$C447&amp;"]["&amp;$D447&amp;"]["&amp;$F447&amp;"]"</f>
        <v>[S05_DefaultValues][148][InstallationCategory]</v>
      </c>
    </row>
    <row r="448" spans="1:15" x14ac:dyDescent="0.3">
      <c r="A448" t="s">
        <v>1793</v>
      </c>
      <c r="B448" t="s">
        <v>1950</v>
      </c>
      <c r="C448" t="s">
        <v>1959</v>
      </c>
      <c r="D448">
        <v>149</v>
      </c>
      <c r="E448" t="s">
        <v>1447</v>
      </c>
      <c r="F448" t="s">
        <v>1960</v>
      </c>
      <c r="G448" t="s">
        <v>1737</v>
      </c>
      <c r="H448" t="s">
        <v>1799</v>
      </c>
      <c r="I448" t="s">
        <v>1799</v>
      </c>
      <c r="J448" t="s">
        <v>1799</v>
      </c>
      <c r="K448" t="s">
        <v>1799</v>
      </c>
      <c r="L448" t="s">
        <v>1427</v>
      </c>
      <c r="M448" t="s">
        <v>1799</v>
      </c>
      <c r="N448" t="s">
        <v>1799</v>
      </c>
      <c r="O448" s="184" t="str">
        <f>"["&amp;$C448&amp;"]["&amp;$D448&amp;"]["&amp;$F448&amp;"]"</f>
        <v>[S05_DefaultValues][149][InstallationCategory]</v>
      </c>
    </row>
    <row r="449" spans="1:15" x14ac:dyDescent="0.3">
      <c r="A449" t="s">
        <v>1793</v>
      </c>
      <c r="B449" t="s">
        <v>1950</v>
      </c>
      <c r="C449" t="s">
        <v>1959</v>
      </c>
      <c r="D449">
        <v>150</v>
      </c>
      <c r="E449" t="s">
        <v>1447</v>
      </c>
      <c r="F449" t="s">
        <v>1960</v>
      </c>
      <c r="G449" t="s">
        <v>1737</v>
      </c>
      <c r="H449" t="s">
        <v>1799</v>
      </c>
      <c r="I449" t="s">
        <v>1799</v>
      </c>
      <c r="J449" t="s">
        <v>1799</v>
      </c>
      <c r="K449" t="s">
        <v>1799</v>
      </c>
      <c r="L449" t="s">
        <v>1427</v>
      </c>
      <c r="M449" t="s">
        <v>1799</v>
      </c>
      <c r="N449" t="s">
        <v>1799</v>
      </c>
      <c r="O449" s="184" t="str">
        <f>"["&amp;$C449&amp;"]["&amp;$D449&amp;"]["&amp;$F449&amp;"]"</f>
        <v>[S05_DefaultValues][150][InstallationCategory]</v>
      </c>
    </row>
    <row r="450" spans="1:15" x14ac:dyDescent="0.3">
      <c r="A450" t="s">
        <v>1793</v>
      </c>
      <c r="B450" t="s">
        <v>1950</v>
      </c>
      <c r="C450" t="s">
        <v>1959</v>
      </c>
      <c r="D450">
        <v>151</v>
      </c>
      <c r="E450" t="s">
        <v>1447</v>
      </c>
      <c r="F450" t="s">
        <v>1960</v>
      </c>
      <c r="G450" t="s">
        <v>1737</v>
      </c>
      <c r="H450" t="s">
        <v>1799</v>
      </c>
      <c r="I450" t="s">
        <v>1799</v>
      </c>
      <c r="J450" t="s">
        <v>1799</v>
      </c>
      <c r="K450" t="s">
        <v>1799</v>
      </c>
      <c r="L450" t="s">
        <v>1427</v>
      </c>
      <c r="M450" t="s">
        <v>1799</v>
      </c>
      <c r="N450" t="s">
        <v>1799</v>
      </c>
      <c r="O450" s="184" t="str">
        <f>"["&amp;$C450&amp;"]["&amp;$D450&amp;"]["&amp;$F450&amp;"]"</f>
        <v>[S05_DefaultValues][151][InstallationCategory]</v>
      </c>
    </row>
    <row r="451" spans="1:15" x14ac:dyDescent="0.3">
      <c r="A451" t="s">
        <v>1793</v>
      </c>
      <c r="B451" t="s">
        <v>1950</v>
      </c>
      <c r="C451" t="s">
        <v>1959</v>
      </c>
      <c r="D451">
        <v>152</v>
      </c>
      <c r="E451" t="s">
        <v>1447</v>
      </c>
      <c r="F451" t="s">
        <v>1960</v>
      </c>
      <c r="G451" t="s">
        <v>1737</v>
      </c>
      <c r="H451" t="s">
        <v>1799</v>
      </c>
      <c r="I451" t="s">
        <v>1799</v>
      </c>
      <c r="J451" t="s">
        <v>1799</v>
      </c>
      <c r="K451" t="s">
        <v>1799</v>
      </c>
      <c r="L451" t="s">
        <v>1427</v>
      </c>
      <c r="M451" t="s">
        <v>1799</v>
      </c>
      <c r="N451" t="s">
        <v>1799</v>
      </c>
      <c r="O451" s="184" t="str">
        <f>"["&amp;$C451&amp;"]["&amp;$D451&amp;"]["&amp;$F451&amp;"]"</f>
        <v>[S05_DefaultValues][152][InstallationCategory]</v>
      </c>
    </row>
    <row r="452" spans="1:15" x14ac:dyDescent="0.3">
      <c r="A452" t="s">
        <v>1793</v>
      </c>
      <c r="B452" t="s">
        <v>1950</v>
      </c>
      <c r="C452" t="s">
        <v>1959</v>
      </c>
      <c r="D452">
        <v>153</v>
      </c>
      <c r="E452" t="s">
        <v>1447</v>
      </c>
      <c r="F452" t="s">
        <v>1960</v>
      </c>
      <c r="G452" t="s">
        <v>1737</v>
      </c>
      <c r="H452" t="s">
        <v>1799</v>
      </c>
      <c r="I452" t="s">
        <v>1799</v>
      </c>
      <c r="J452" t="s">
        <v>1799</v>
      </c>
      <c r="K452" t="s">
        <v>1799</v>
      </c>
      <c r="L452" t="s">
        <v>1455</v>
      </c>
      <c r="M452" t="s">
        <v>1799</v>
      </c>
      <c r="N452" t="s">
        <v>1799</v>
      </c>
      <c r="O452" s="184" t="str">
        <f>"["&amp;$C452&amp;"]["&amp;$D452&amp;"]["&amp;$F452&amp;"]"</f>
        <v>[S05_DefaultValues][153][InstallationCategory]</v>
      </c>
    </row>
    <row r="453" spans="1:15" x14ac:dyDescent="0.3">
      <c r="A453" t="s">
        <v>1793</v>
      </c>
      <c r="B453" t="s">
        <v>1950</v>
      </c>
      <c r="C453" t="s">
        <v>1959</v>
      </c>
      <c r="D453">
        <v>154</v>
      </c>
      <c r="E453" t="s">
        <v>1447</v>
      </c>
      <c r="F453" t="s">
        <v>1960</v>
      </c>
      <c r="G453" t="s">
        <v>1737</v>
      </c>
      <c r="H453" t="s">
        <v>1799</v>
      </c>
      <c r="I453" t="s">
        <v>1799</v>
      </c>
      <c r="J453" t="s">
        <v>1799</v>
      </c>
      <c r="K453" t="s">
        <v>1799</v>
      </c>
      <c r="L453" t="s">
        <v>1455</v>
      </c>
      <c r="M453" t="s">
        <v>1799</v>
      </c>
      <c r="N453" t="s">
        <v>1799</v>
      </c>
      <c r="O453" s="184" t="str">
        <f>"["&amp;$C453&amp;"]["&amp;$D453&amp;"]["&amp;$F453&amp;"]"</f>
        <v>[S05_DefaultValues][154][InstallationCategory]</v>
      </c>
    </row>
    <row r="454" spans="1:15" x14ac:dyDescent="0.3">
      <c r="A454" t="s">
        <v>1793</v>
      </c>
      <c r="B454" t="s">
        <v>1950</v>
      </c>
      <c r="C454" t="s">
        <v>1959</v>
      </c>
      <c r="D454">
        <v>155</v>
      </c>
      <c r="E454" t="s">
        <v>1447</v>
      </c>
      <c r="F454" t="s">
        <v>1960</v>
      </c>
      <c r="G454" t="s">
        <v>1737</v>
      </c>
      <c r="H454" t="s">
        <v>1799</v>
      </c>
      <c r="I454" t="s">
        <v>1799</v>
      </c>
      <c r="J454" t="s">
        <v>1799</v>
      </c>
      <c r="K454" t="s">
        <v>1799</v>
      </c>
      <c r="L454" t="s">
        <v>1455</v>
      </c>
      <c r="M454" t="s">
        <v>1799</v>
      </c>
      <c r="N454" t="s">
        <v>1799</v>
      </c>
      <c r="O454" s="184" t="str">
        <f>"["&amp;$C454&amp;"]["&amp;$D454&amp;"]["&amp;$F454&amp;"]"</f>
        <v>[S05_DefaultValues][155][InstallationCategory]</v>
      </c>
    </row>
    <row r="455" spans="1:15" x14ac:dyDescent="0.3">
      <c r="A455" t="s">
        <v>1793</v>
      </c>
      <c r="B455" t="s">
        <v>1950</v>
      </c>
      <c r="C455" t="s">
        <v>1959</v>
      </c>
      <c r="D455">
        <v>156</v>
      </c>
      <c r="E455" t="s">
        <v>1447</v>
      </c>
      <c r="F455" t="s">
        <v>1960</v>
      </c>
      <c r="G455" t="s">
        <v>1737</v>
      </c>
      <c r="H455" t="s">
        <v>1799</v>
      </c>
      <c r="I455" t="s">
        <v>1799</v>
      </c>
      <c r="J455" t="s">
        <v>1799</v>
      </c>
      <c r="K455" t="s">
        <v>1799</v>
      </c>
      <c r="L455" t="s">
        <v>1455</v>
      </c>
      <c r="M455" t="s">
        <v>1799</v>
      </c>
      <c r="N455" t="s">
        <v>1799</v>
      </c>
      <c r="O455" s="184" t="str">
        <f>"["&amp;$C455&amp;"]["&amp;$D455&amp;"]["&amp;$F455&amp;"]"</f>
        <v>[S05_DefaultValues][156][InstallationCategory]</v>
      </c>
    </row>
    <row r="456" spans="1:15" x14ac:dyDescent="0.3">
      <c r="A456" t="s">
        <v>1793</v>
      </c>
      <c r="B456" t="s">
        <v>1950</v>
      </c>
      <c r="C456" t="s">
        <v>1959</v>
      </c>
      <c r="D456">
        <v>157</v>
      </c>
      <c r="E456" t="s">
        <v>1447</v>
      </c>
      <c r="F456" t="s">
        <v>1960</v>
      </c>
      <c r="G456" t="s">
        <v>1737</v>
      </c>
      <c r="H456" t="s">
        <v>1799</v>
      </c>
      <c r="I456" t="s">
        <v>1799</v>
      </c>
      <c r="J456" t="s">
        <v>1799</v>
      </c>
      <c r="K456" t="s">
        <v>1799</v>
      </c>
      <c r="L456" t="s">
        <v>1455</v>
      </c>
      <c r="M456" t="s">
        <v>1799</v>
      </c>
      <c r="N456" t="s">
        <v>1799</v>
      </c>
      <c r="O456" s="184" t="str">
        <f>"["&amp;$C456&amp;"]["&amp;$D456&amp;"]["&amp;$F456&amp;"]"</f>
        <v>[S05_DefaultValues][157][InstallationCategory]</v>
      </c>
    </row>
    <row r="457" spans="1:15" x14ac:dyDescent="0.3">
      <c r="A457" t="s">
        <v>1793</v>
      </c>
      <c r="B457" t="s">
        <v>1950</v>
      </c>
      <c r="C457" t="s">
        <v>1959</v>
      </c>
      <c r="D457">
        <v>158</v>
      </c>
      <c r="E457" t="s">
        <v>1447</v>
      </c>
      <c r="F457" t="s">
        <v>1960</v>
      </c>
      <c r="G457" t="s">
        <v>1737</v>
      </c>
      <c r="H457" t="s">
        <v>1799</v>
      </c>
      <c r="I457" t="s">
        <v>1799</v>
      </c>
      <c r="J457" t="s">
        <v>1799</v>
      </c>
      <c r="K457" t="s">
        <v>1799</v>
      </c>
      <c r="L457" t="s">
        <v>1455</v>
      </c>
      <c r="M457" t="s">
        <v>1799</v>
      </c>
      <c r="N457" t="s">
        <v>1799</v>
      </c>
      <c r="O457" s="184" t="str">
        <f>"["&amp;$C457&amp;"]["&amp;$D457&amp;"]["&amp;$F457&amp;"]"</f>
        <v>[S05_DefaultValues][158][InstallationCategory]</v>
      </c>
    </row>
    <row r="458" spans="1:15" x14ac:dyDescent="0.3">
      <c r="A458" t="s">
        <v>1793</v>
      </c>
      <c r="B458" t="s">
        <v>1950</v>
      </c>
      <c r="C458" t="s">
        <v>1959</v>
      </c>
      <c r="D458">
        <v>159</v>
      </c>
      <c r="E458" t="s">
        <v>1447</v>
      </c>
      <c r="F458" t="s">
        <v>1960</v>
      </c>
      <c r="G458" t="s">
        <v>1737</v>
      </c>
      <c r="H458" t="s">
        <v>1799</v>
      </c>
      <c r="I458" t="s">
        <v>1799</v>
      </c>
      <c r="J458" t="s">
        <v>1799</v>
      </c>
      <c r="K458" t="s">
        <v>1799</v>
      </c>
      <c r="L458" t="s">
        <v>1455</v>
      </c>
      <c r="M458" t="s">
        <v>1799</v>
      </c>
      <c r="N458" t="s">
        <v>1799</v>
      </c>
      <c r="O458" s="184" t="str">
        <f>"["&amp;$C458&amp;"]["&amp;$D458&amp;"]["&amp;$F458&amp;"]"</f>
        <v>[S05_DefaultValues][159][InstallationCategory]</v>
      </c>
    </row>
    <row r="459" spans="1:15" x14ac:dyDescent="0.3">
      <c r="A459" t="s">
        <v>1793</v>
      </c>
      <c r="B459" t="s">
        <v>1950</v>
      </c>
      <c r="C459" t="s">
        <v>1959</v>
      </c>
      <c r="D459">
        <v>160</v>
      </c>
      <c r="E459" t="s">
        <v>1447</v>
      </c>
      <c r="F459" t="s">
        <v>1960</v>
      </c>
      <c r="G459" t="s">
        <v>1737</v>
      </c>
      <c r="H459" t="s">
        <v>1799</v>
      </c>
      <c r="I459" t="s">
        <v>1799</v>
      </c>
      <c r="J459" t="s">
        <v>1799</v>
      </c>
      <c r="K459" t="s">
        <v>1799</v>
      </c>
      <c r="L459" t="s">
        <v>1455</v>
      </c>
      <c r="M459" t="s">
        <v>1799</v>
      </c>
      <c r="N459" t="s">
        <v>1799</v>
      </c>
      <c r="O459" s="184" t="str">
        <f>"["&amp;$C459&amp;"]["&amp;$D459&amp;"]["&amp;$F459&amp;"]"</f>
        <v>[S05_DefaultValues][160][InstallationCategory]</v>
      </c>
    </row>
    <row r="460" spans="1:15" x14ac:dyDescent="0.3">
      <c r="A460" t="s">
        <v>1793</v>
      </c>
      <c r="B460" t="s">
        <v>1950</v>
      </c>
      <c r="C460" t="s">
        <v>1959</v>
      </c>
      <c r="D460">
        <v>161</v>
      </c>
      <c r="E460" t="s">
        <v>1447</v>
      </c>
      <c r="F460" t="s">
        <v>1960</v>
      </c>
      <c r="G460" t="s">
        <v>1737</v>
      </c>
      <c r="H460" t="s">
        <v>1799</v>
      </c>
      <c r="I460" t="s">
        <v>1799</v>
      </c>
      <c r="J460" t="s">
        <v>1799</v>
      </c>
      <c r="K460" t="s">
        <v>1799</v>
      </c>
      <c r="L460" t="s">
        <v>1455</v>
      </c>
      <c r="M460" t="s">
        <v>1799</v>
      </c>
      <c r="N460" t="s">
        <v>1799</v>
      </c>
      <c r="O460" s="184" t="str">
        <f>"["&amp;$C460&amp;"]["&amp;$D460&amp;"]["&amp;$F460&amp;"]"</f>
        <v>[S05_DefaultValues][161][InstallationCategory]</v>
      </c>
    </row>
    <row r="461" spans="1:15" x14ac:dyDescent="0.3">
      <c r="A461" t="s">
        <v>1793</v>
      </c>
      <c r="B461" t="s">
        <v>1950</v>
      </c>
      <c r="C461" t="s">
        <v>1959</v>
      </c>
      <c r="D461">
        <v>162</v>
      </c>
      <c r="E461" t="s">
        <v>1447</v>
      </c>
      <c r="F461" t="s">
        <v>1960</v>
      </c>
      <c r="G461" t="s">
        <v>1737</v>
      </c>
      <c r="H461" t="s">
        <v>1799</v>
      </c>
      <c r="I461" t="s">
        <v>1799</v>
      </c>
      <c r="J461" t="s">
        <v>1799</v>
      </c>
      <c r="K461" t="s">
        <v>1799</v>
      </c>
      <c r="L461" t="s">
        <v>1455</v>
      </c>
      <c r="M461" t="s">
        <v>1799</v>
      </c>
      <c r="N461" t="s">
        <v>1799</v>
      </c>
      <c r="O461" s="184" t="str">
        <f>"["&amp;$C461&amp;"]["&amp;$D461&amp;"]["&amp;$F461&amp;"]"</f>
        <v>[S05_DefaultValues][162][InstallationCategory]</v>
      </c>
    </row>
    <row r="462" spans="1:15" x14ac:dyDescent="0.3">
      <c r="A462" t="s">
        <v>1793</v>
      </c>
      <c r="B462" t="s">
        <v>1950</v>
      </c>
      <c r="C462" t="s">
        <v>1959</v>
      </c>
      <c r="D462">
        <v>163</v>
      </c>
      <c r="E462" t="s">
        <v>1447</v>
      </c>
      <c r="F462" t="s">
        <v>1960</v>
      </c>
      <c r="G462" t="s">
        <v>1737</v>
      </c>
      <c r="H462" t="s">
        <v>1799</v>
      </c>
      <c r="I462" t="s">
        <v>1799</v>
      </c>
      <c r="J462" t="s">
        <v>1799</v>
      </c>
      <c r="K462" t="s">
        <v>1799</v>
      </c>
      <c r="L462" t="s">
        <v>1455</v>
      </c>
      <c r="M462" t="s">
        <v>1799</v>
      </c>
      <c r="N462" t="s">
        <v>1799</v>
      </c>
      <c r="O462" s="184" t="str">
        <f>"["&amp;$C462&amp;"]["&amp;$D462&amp;"]["&amp;$F462&amp;"]"</f>
        <v>[S05_DefaultValues][163][InstallationCategory]</v>
      </c>
    </row>
    <row r="463" spans="1:15" x14ac:dyDescent="0.3">
      <c r="A463" t="s">
        <v>1793</v>
      </c>
      <c r="B463" t="s">
        <v>1950</v>
      </c>
      <c r="C463" t="s">
        <v>1959</v>
      </c>
      <c r="D463">
        <v>164</v>
      </c>
      <c r="E463" t="s">
        <v>1447</v>
      </c>
      <c r="F463" t="s">
        <v>1960</v>
      </c>
      <c r="G463" t="s">
        <v>1737</v>
      </c>
      <c r="H463" t="s">
        <v>1799</v>
      </c>
      <c r="I463" t="s">
        <v>1799</v>
      </c>
      <c r="J463" t="s">
        <v>1799</v>
      </c>
      <c r="K463" t="s">
        <v>1799</v>
      </c>
      <c r="L463" t="s">
        <v>1455</v>
      </c>
      <c r="M463" t="s">
        <v>1799</v>
      </c>
      <c r="N463" t="s">
        <v>1799</v>
      </c>
      <c r="O463" s="184" t="str">
        <f>"["&amp;$C463&amp;"]["&amp;$D463&amp;"]["&amp;$F463&amp;"]"</f>
        <v>[S05_DefaultValues][164][InstallationCategory]</v>
      </c>
    </row>
    <row r="464" spans="1:15" x14ac:dyDescent="0.3">
      <c r="A464" t="s">
        <v>1793</v>
      </c>
      <c r="B464" t="s">
        <v>1950</v>
      </c>
      <c r="C464" t="s">
        <v>1959</v>
      </c>
      <c r="D464">
        <v>165</v>
      </c>
      <c r="E464" t="s">
        <v>1447</v>
      </c>
      <c r="F464" t="s">
        <v>1960</v>
      </c>
      <c r="G464" t="s">
        <v>1737</v>
      </c>
      <c r="H464" t="s">
        <v>1799</v>
      </c>
      <c r="I464" t="s">
        <v>1799</v>
      </c>
      <c r="J464" t="s">
        <v>1799</v>
      </c>
      <c r="K464" t="s">
        <v>1799</v>
      </c>
      <c r="L464" t="s">
        <v>1455</v>
      </c>
      <c r="M464" t="s">
        <v>1799</v>
      </c>
      <c r="N464" t="s">
        <v>1799</v>
      </c>
      <c r="O464" s="184" t="str">
        <f>"["&amp;$C464&amp;"]["&amp;$D464&amp;"]["&amp;$F464&amp;"]"</f>
        <v>[S05_DefaultValues][165][InstallationCategory]</v>
      </c>
    </row>
    <row r="465" spans="1:15" x14ac:dyDescent="0.3">
      <c r="A465" t="s">
        <v>1793</v>
      </c>
      <c r="B465" t="s">
        <v>1950</v>
      </c>
      <c r="C465" t="s">
        <v>1959</v>
      </c>
      <c r="D465">
        <v>166</v>
      </c>
      <c r="E465" t="s">
        <v>1447</v>
      </c>
      <c r="F465" t="s">
        <v>1960</v>
      </c>
      <c r="G465" t="s">
        <v>1737</v>
      </c>
      <c r="H465" t="s">
        <v>1799</v>
      </c>
      <c r="I465" t="s">
        <v>1799</v>
      </c>
      <c r="J465" t="s">
        <v>1799</v>
      </c>
      <c r="K465" t="s">
        <v>1799</v>
      </c>
      <c r="L465" t="s">
        <v>1455</v>
      </c>
      <c r="M465" t="s">
        <v>1799</v>
      </c>
      <c r="N465" t="s">
        <v>1799</v>
      </c>
      <c r="O465" s="184" t="str">
        <f>"["&amp;$C465&amp;"]["&amp;$D465&amp;"]["&amp;$F465&amp;"]"</f>
        <v>[S05_DefaultValues][166][InstallationCategory]</v>
      </c>
    </row>
    <row r="466" spans="1:15" x14ac:dyDescent="0.3">
      <c r="A466" t="s">
        <v>1793</v>
      </c>
      <c r="B466" t="s">
        <v>1950</v>
      </c>
      <c r="C466" t="s">
        <v>1959</v>
      </c>
      <c r="D466">
        <v>167</v>
      </c>
      <c r="E466" t="s">
        <v>1447</v>
      </c>
      <c r="F466" t="s">
        <v>1960</v>
      </c>
      <c r="G466" t="s">
        <v>1737</v>
      </c>
      <c r="H466" t="s">
        <v>1799</v>
      </c>
      <c r="I466" t="s">
        <v>1799</v>
      </c>
      <c r="J466" t="s">
        <v>1799</v>
      </c>
      <c r="K466" t="s">
        <v>1799</v>
      </c>
      <c r="L466" t="s">
        <v>1455</v>
      </c>
      <c r="M466" t="s">
        <v>1799</v>
      </c>
      <c r="N466" t="s">
        <v>1799</v>
      </c>
      <c r="O466" s="184" t="str">
        <f>"["&amp;$C466&amp;"]["&amp;$D466&amp;"]["&amp;$F466&amp;"]"</f>
        <v>[S05_DefaultValues][167][InstallationCategory]</v>
      </c>
    </row>
    <row r="467" spans="1:15" x14ac:dyDescent="0.3">
      <c r="A467" t="s">
        <v>1793</v>
      </c>
      <c r="B467" t="s">
        <v>1950</v>
      </c>
      <c r="C467" t="s">
        <v>1959</v>
      </c>
      <c r="D467">
        <v>168</v>
      </c>
      <c r="E467" t="s">
        <v>1447</v>
      </c>
      <c r="F467" t="s">
        <v>1960</v>
      </c>
      <c r="G467" t="s">
        <v>1737</v>
      </c>
      <c r="H467" t="s">
        <v>1799</v>
      </c>
      <c r="I467" t="s">
        <v>1799</v>
      </c>
      <c r="J467" t="s">
        <v>1799</v>
      </c>
      <c r="K467" t="s">
        <v>1799</v>
      </c>
      <c r="L467" t="s">
        <v>1455</v>
      </c>
      <c r="M467" t="s">
        <v>1799</v>
      </c>
      <c r="N467" t="s">
        <v>1799</v>
      </c>
      <c r="O467" s="184" t="str">
        <f>"["&amp;$C467&amp;"]["&amp;$D467&amp;"]["&amp;$F467&amp;"]"</f>
        <v>[S05_DefaultValues][168][InstallationCategory]</v>
      </c>
    </row>
    <row r="468" spans="1:15" x14ac:dyDescent="0.3">
      <c r="A468" t="s">
        <v>1793</v>
      </c>
      <c r="B468" t="s">
        <v>1950</v>
      </c>
      <c r="C468" t="s">
        <v>1959</v>
      </c>
      <c r="D468">
        <v>169</v>
      </c>
      <c r="E468" t="s">
        <v>1447</v>
      </c>
      <c r="F468" t="s">
        <v>1960</v>
      </c>
      <c r="G468" t="s">
        <v>1737</v>
      </c>
      <c r="H468" t="s">
        <v>1799</v>
      </c>
      <c r="I468" t="s">
        <v>1799</v>
      </c>
      <c r="J468" t="s">
        <v>1799</v>
      </c>
      <c r="K468" t="s">
        <v>1799</v>
      </c>
      <c r="L468" t="s">
        <v>1455</v>
      </c>
      <c r="M468" t="s">
        <v>1799</v>
      </c>
      <c r="N468" t="s">
        <v>1799</v>
      </c>
      <c r="O468" s="184" t="str">
        <f>"["&amp;$C468&amp;"]["&amp;$D468&amp;"]["&amp;$F468&amp;"]"</f>
        <v>[S05_DefaultValues][169][InstallationCategory]</v>
      </c>
    </row>
    <row r="469" spans="1:15" x14ac:dyDescent="0.3">
      <c r="A469" t="s">
        <v>1793</v>
      </c>
      <c r="B469" t="s">
        <v>1950</v>
      </c>
      <c r="C469" t="s">
        <v>1959</v>
      </c>
      <c r="D469">
        <v>170</v>
      </c>
      <c r="E469" t="s">
        <v>1447</v>
      </c>
      <c r="F469" t="s">
        <v>1960</v>
      </c>
      <c r="G469" t="s">
        <v>1737</v>
      </c>
      <c r="H469" t="s">
        <v>1799</v>
      </c>
      <c r="I469" t="s">
        <v>1799</v>
      </c>
      <c r="J469" t="s">
        <v>1799</v>
      </c>
      <c r="K469" t="s">
        <v>1799</v>
      </c>
      <c r="L469" t="s">
        <v>1455</v>
      </c>
      <c r="M469" t="s">
        <v>1799</v>
      </c>
      <c r="N469" t="s">
        <v>1799</v>
      </c>
      <c r="O469" s="184" t="str">
        <f>"["&amp;$C469&amp;"]["&amp;$D469&amp;"]["&amp;$F469&amp;"]"</f>
        <v>[S05_DefaultValues][170][InstallationCategory]</v>
      </c>
    </row>
    <row r="470" spans="1:15" x14ac:dyDescent="0.3">
      <c r="A470" t="s">
        <v>1793</v>
      </c>
      <c r="B470" t="s">
        <v>1950</v>
      </c>
      <c r="C470" t="s">
        <v>1959</v>
      </c>
      <c r="D470">
        <v>171</v>
      </c>
      <c r="E470" t="s">
        <v>1447</v>
      </c>
      <c r="F470" t="s">
        <v>1960</v>
      </c>
      <c r="G470" t="s">
        <v>1737</v>
      </c>
      <c r="H470" t="s">
        <v>1799</v>
      </c>
      <c r="I470" t="s">
        <v>1799</v>
      </c>
      <c r="J470" t="s">
        <v>1799</v>
      </c>
      <c r="K470" t="s">
        <v>1799</v>
      </c>
      <c r="L470" t="s">
        <v>1455</v>
      </c>
      <c r="M470" t="s">
        <v>1799</v>
      </c>
      <c r="N470" t="s">
        <v>1799</v>
      </c>
      <c r="O470" s="184" t="str">
        <f>"["&amp;$C470&amp;"]["&amp;$D470&amp;"]["&amp;$F470&amp;"]"</f>
        <v>[S05_DefaultValues][171][InstallationCategory]</v>
      </c>
    </row>
    <row r="471" spans="1:15" x14ac:dyDescent="0.3">
      <c r="A471" t="s">
        <v>1793</v>
      </c>
      <c r="B471" t="s">
        <v>1950</v>
      </c>
      <c r="C471" t="s">
        <v>1959</v>
      </c>
      <c r="D471">
        <v>172</v>
      </c>
      <c r="E471" t="s">
        <v>1447</v>
      </c>
      <c r="F471" t="s">
        <v>1960</v>
      </c>
      <c r="G471" t="s">
        <v>1737</v>
      </c>
      <c r="H471" t="s">
        <v>1799</v>
      </c>
      <c r="I471" t="s">
        <v>1799</v>
      </c>
      <c r="J471" t="s">
        <v>1799</v>
      </c>
      <c r="K471" t="s">
        <v>1799</v>
      </c>
      <c r="L471" t="s">
        <v>1455</v>
      </c>
      <c r="M471" t="s">
        <v>1799</v>
      </c>
      <c r="N471" t="s">
        <v>1799</v>
      </c>
      <c r="O471" s="184" t="str">
        <f>"["&amp;$C471&amp;"]["&amp;$D471&amp;"]["&amp;$F471&amp;"]"</f>
        <v>[S05_DefaultValues][172][InstallationCategory]</v>
      </c>
    </row>
    <row r="472" spans="1:15" x14ac:dyDescent="0.3">
      <c r="A472" t="s">
        <v>1793</v>
      </c>
      <c r="B472" t="s">
        <v>1950</v>
      </c>
      <c r="C472" t="s">
        <v>1959</v>
      </c>
      <c r="D472">
        <v>173</v>
      </c>
      <c r="E472" t="s">
        <v>1447</v>
      </c>
      <c r="F472" t="s">
        <v>1960</v>
      </c>
      <c r="G472" t="s">
        <v>1737</v>
      </c>
      <c r="H472" t="s">
        <v>1799</v>
      </c>
      <c r="I472" t="s">
        <v>1799</v>
      </c>
      <c r="J472" t="s">
        <v>1799</v>
      </c>
      <c r="K472" t="s">
        <v>1799</v>
      </c>
      <c r="L472" t="s">
        <v>1455</v>
      </c>
      <c r="M472" t="s">
        <v>1799</v>
      </c>
      <c r="N472" t="s">
        <v>1799</v>
      </c>
      <c r="O472" s="184" t="str">
        <f>"["&amp;$C472&amp;"]["&amp;$D472&amp;"]["&amp;$F472&amp;"]"</f>
        <v>[S05_DefaultValues][173][InstallationCategory]</v>
      </c>
    </row>
    <row r="473" spans="1:15" x14ac:dyDescent="0.3">
      <c r="A473" t="s">
        <v>1793</v>
      </c>
      <c r="B473" t="s">
        <v>1950</v>
      </c>
      <c r="C473" t="s">
        <v>1959</v>
      </c>
      <c r="D473">
        <v>174</v>
      </c>
      <c r="E473" t="s">
        <v>1447</v>
      </c>
      <c r="F473" t="s">
        <v>1960</v>
      </c>
      <c r="G473" t="s">
        <v>1737</v>
      </c>
      <c r="H473" t="s">
        <v>1799</v>
      </c>
      <c r="I473" t="s">
        <v>1799</v>
      </c>
      <c r="J473" t="s">
        <v>1799</v>
      </c>
      <c r="K473" t="s">
        <v>1799</v>
      </c>
      <c r="L473" t="s">
        <v>1455</v>
      </c>
      <c r="M473" t="s">
        <v>1799</v>
      </c>
      <c r="N473" t="s">
        <v>1799</v>
      </c>
      <c r="O473" s="184" t="str">
        <f>"["&amp;$C473&amp;"]["&amp;$D473&amp;"]["&amp;$F473&amp;"]"</f>
        <v>[S05_DefaultValues][174][InstallationCategory]</v>
      </c>
    </row>
    <row r="474" spans="1:15" x14ac:dyDescent="0.3">
      <c r="A474" t="s">
        <v>1793</v>
      </c>
      <c r="B474" t="s">
        <v>1950</v>
      </c>
      <c r="C474" t="s">
        <v>1959</v>
      </c>
      <c r="D474">
        <v>175</v>
      </c>
      <c r="E474" t="s">
        <v>1447</v>
      </c>
      <c r="F474" t="s">
        <v>1960</v>
      </c>
      <c r="G474" t="s">
        <v>1737</v>
      </c>
      <c r="H474" t="s">
        <v>1799</v>
      </c>
      <c r="I474" t="s">
        <v>1799</v>
      </c>
      <c r="J474" t="s">
        <v>1799</v>
      </c>
      <c r="K474" t="s">
        <v>1799</v>
      </c>
      <c r="L474" t="s">
        <v>1455</v>
      </c>
      <c r="M474" t="s">
        <v>1799</v>
      </c>
      <c r="N474" t="s">
        <v>1799</v>
      </c>
      <c r="O474" s="184" t="str">
        <f>"["&amp;$C474&amp;"]["&amp;$D474&amp;"]["&amp;$F474&amp;"]"</f>
        <v>[S05_DefaultValues][175][InstallationCategory]</v>
      </c>
    </row>
    <row r="475" spans="1:15" x14ac:dyDescent="0.3">
      <c r="A475" t="s">
        <v>1793</v>
      </c>
      <c r="B475" t="s">
        <v>1950</v>
      </c>
      <c r="C475" t="s">
        <v>1959</v>
      </c>
      <c r="D475">
        <v>176</v>
      </c>
      <c r="E475" t="s">
        <v>1447</v>
      </c>
      <c r="F475" t="s">
        <v>1960</v>
      </c>
      <c r="G475" t="s">
        <v>1737</v>
      </c>
      <c r="H475" t="s">
        <v>1799</v>
      </c>
      <c r="I475" t="s">
        <v>1799</v>
      </c>
      <c r="J475" t="s">
        <v>1799</v>
      </c>
      <c r="K475" t="s">
        <v>1799</v>
      </c>
      <c r="L475" t="s">
        <v>1455</v>
      </c>
      <c r="M475" t="s">
        <v>1799</v>
      </c>
      <c r="N475" t="s">
        <v>1799</v>
      </c>
      <c r="O475" s="184" t="str">
        <f>"["&amp;$C475&amp;"]["&amp;$D475&amp;"]["&amp;$F475&amp;"]"</f>
        <v>[S05_DefaultValues][176][InstallationCategory]</v>
      </c>
    </row>
    <row r="476" spans="1:15" x14ac:dyDescent="0.3">
      <c r="A476" t="s">
        <v>1793</v>
      </c>
      <c r="B476" t="s">
        <v>1950</v>
      </c>
      <c r="C476" t="s">
        <v>1959</v>
      </c>
      <c r="D476">
        <v>177</v>
      </c>
      <c r="E476" t="s">
        <v>1447</v>
      </c>
      <c r="F476" t="s">
        <v>1960</v>
      </c>
      <c r="G476" t="s">
        <v>1737</v>
      </c>
      <c r="H476" t="s">
        <v>1799</v>
      </c>
      <c r="I476" t="s">
        <v>1799</v>
      </c>
      <c r="J476" t="s">
        <v>1799</v>
      </c>
      <c r="K476" t="s">
        <v>1799</v>
      </c>
      <c r="L476" t="s">
        <v>1455</v>
      </c>
      <c r="M476" t="s">
        <v>1799</v>
      </c>
      <c r="N476" t="s">
        <v>1799</v>
      </c>
      <c r="O476" s="184" t="str">
        <f>"["&amp;$C476&amp;"]["&amp;$D476&amp;"]["&amp;$F476&amp;"]"</f>
        <v>[S05_DefaultValues][177][InstallationCategory]</v>
      </c>
    </row>
    <row r="477" spans="1:15" x14ac:dyDescent="0.3">
      <c r="A477" t="s">
        <v>1793</v>
      </c>
      <c r="B477" t="s">
        <v>1950</v>
      </c>
      <c r="C477" t="s">
        <v>1959</v>
      </c>
      <c r="D477">
        <v>178</v>
      </c>
      <c r="E477" t="s">
        <v>1447</v>
      </c>
      <c r="F477" t="s">
        <v>1960</v>
      </c>
      <c r="G477" t="s">
        <v>1737</v>
      </c>
      <c r="H477" t="s">
        <v>1799</v>
      </c>
      <c r="I477" t="s">
        <v>1799</v>
      </c>
      <c r="J477" t="s">
        <v>1799</v>
      </c>
      <c r="K477" t="s">
        <v>1799</v>
      </c>
      <c r="L477" t="s">
        <v>1455</v>
      </c>
      <c r="M477" t="s">
        <v>1799</v>
      </c>
      <c r="N477" t="s">
        <v>1799</v>
      </c>
      <c r="O477" s="184" t="str">
        <f>"["&amp;$C477&amp;"]["&amp;$D477&amp;"]["&amp;$F477&amp;"]"</f>
        <v>[S05_DefaultValues][178][InstallationCategory]</v>
      </c>
    </row>
    <row r="478" spans="1:15" x14ac:dyDescent="0.3">
      <c r="A478" t="s">
        <v>1793</v>
      </c>
      <c r="B478" t="s">
        <v>1950</v>
      </c>
      <c r="C478" t="s">
        <v>1959</v>
      </c>
      <c r="D478">
        <v>179</v>
      </c>
      <c r="E478" t="s">
        <v>1447</v>
      </c>
      <c r="F478" t="s">
        <v>1960</v>
      </c>
      <c r="G478" t="s">
        <v>1737</v>
      </c>
      <c r="H478" t="s">
        <v>1799</v>
      </c>
      <c r="I478" t="s">
        <v>1799</v>
      </c>
      <c r="J478" t="s">
        <v>1799</v>
      </c>
      <c r="K478" t="s">
        <v>1799</v>
      </c>
      <c r="L478" t="s">
        <v>1455</v>
      </c>
      <c r="M478" t="s">
        <v>1799</v>
      </c>
      <c r="N478" t="s">
        <v>1799</v>
      </c>
      <c r="O478" s="184" t="str">
        <f>"["&amp;$C478&amp;"]["&amp;$D478&amp;"]["&amp;$F478&amp;"]"</f>
        <v>[S05_DefaultValues][179][InstallationCategory]</v>
      </c>
    </row>
    <row r="479" spans="1:15" x14ac:dyDescent="0.3">
      <c r="A479" t="s">
        <v>1793</v>
      </c>
      <c r="B479" t="s">
        <v>1950</v>
      </c>
      <c r="C479" t="s">
        <v>1959</v>
      </c>
      <c r="D479">
        <v>180</v>
      </c>
      <c r="E479" t="s">
        <v>1447</v>
      </c>
      <c r="F479" t="s">
        <v>1960</v>
      </c>
      <c r="G479" t="s">
        <v>1737</v>
      </c>
      <c r="H479" t="s">
        <v>1799</v>
      </c>
      <c r="I479" t="s">
        <v>1799</v>
      </c>
      <c r="J479" t="s">
        <v>1799</v>
      </c>
      <c r="K479" t="s">
        <v>1799</v>
      </c>
      <c r="L479" t="s">
        <v>1455</v>
      </c>
      <c r="M479" t="s">
        <v>1799</v>
      </c>
      <c r="N479" t="s">
        <v>1799</v>
      </c>
      <c r="O479" s="184" t="str">
        <f>"["&amp;$C479&amp;"]["&amp;$D479&amp;"]["&amp;$F479&amp;"]"</f>
        <v>[S05_DefaultValues][180][InstallationCategory]</v>
      </c>
    </row>
    <row r="480" spans="1:15" x14ac:dyDescent="0.3">
      <c r="A480" t="s">
        <v>1793</v>
      </c>
      <c r="B480" t="s">
        <v>1950</v>
      </c>
      <c r="C480" t="s">
        <v>1959</v>
      </c>
      <c r="D480">
        <v>181</v>
      </c>
      <c r="E480" t="s">
        <v>1447</v>
      </c>
      <c r="F480" t="s">
        <v>1960</v>
      </c>
      <c r="G480" t="s">
        <v>1737</v>
      </c>
      <c r="H480" t="s">
        <v>1799</v>
      </c>
      <c r="I480" t="s">
        <v>1799</v>
      </c>
      <c r="J480" t="s">
        <v>1799</v>
      </c>
      <c r="K480" t="s">
        <v>1799</v>
      </c>
      <c r="L480" t="s">
        <v>1455</v>
      </c>
      <c r="M480" t="s">
        <v>1799</v>
      </c>
      <c r="N480" t="s">
        <v>1799</v>
      </c>
      <c r="O480" s="184" t="str">
        <f>"["&amp;$C480&amp;"]["&amp;$D480&amp;"]["&amp;$F480&amp;"]"</f>
        <v>[S05_DefaultValues][181][InstallationCategory]</v>
      </c>
    </row>
    <row r="481" spans="1:15" x14ac:dyDescent="0.3">
      <c r="A481" t="s">
        <v>1793</v>
      </c>
      <c r="B481" t="s">
        <v>1950</v>
      </c>
      <c r="C481" t="s">
        <v>1959</v>
      </c>
      <c r="D481">
        <v>182</v>
      </c>
      <c r="E481" t="s">
        <v>1447</v>
      </c>
      <c r="F481" t="s">
        <v>1960</v>
      </c>
      <c r="G481" t="s">
        <v>1737</v>
      </c>
      <c r="H481" t="s">
        <v>1799</v>
      </c>
      <c r="I481" t="s">
        <v>1799</v>
      </c>
      <c r="J481" t="s">
        <v>1799</v>
      </c>
      <c r="K481" t="s">
        <v>1799</v>
      </c>
      <c r="L481" t="s">
        <v>1455</v>
      </c>
      <c r="M481" t="s">
        <v>1799</v>
      </c>
      <c r="N481" t="s">
        <v>1799</v>
      </c>
      <c r="O481" s="184" t="str">
        <f>"["&amp;$C481&amp;"]["&amp;$D481&amp;"]["&amp;$F481&amp;"]"</f>
        <v>[S05_DefaultValues][182][InstallationCategory]</v>
      </c>
    </row>
    <row r="482" spans="1:15" x14ac:dyDescent="0.3">
      <c r="A482" t="s">
        <v>1793</v>
      </c>
      <c r="B482" t="s">
        <v>1950</v>
      </c>
      <c r="C482" t="s">
        <v>1959</v>
      </c>
      <c r="D482">
        <v>183</v>
      </c>
      <c r="E482" t="s">
        <v>1447</v>
      </c>
      <c r="F482" t="s">
        <v>1960</v>
      </c>
      <c r="G482" t="s">
        <v>1737</v>
      </c>
      <c r="H482" t="s">
        <v>1799</v>
      </c>
      <c r="I482" t="s">
        <v>1799</v>
      </c>
      <c r="J482" t="s">
        <v>1799</v>
      </c>
      <c r="K482" t="s">
        <v>1799</v>
      </c>
      <c r="L482" t="s">
        <v>1455</v>
      </c>
      <c r="M482" t="s">
        <v>1799</v>
      </c>
      <c r="N482" t="s">
        <v>1799</v>
      </c>
      <c r="O482" s="184" t="str">
        <f>"["&amp;$C482&amp;"]["&amp;$D482&amp;"]["&amp;$F482&amp;"]"</f>
        <v>[S05_DefaultValues][183][InstallationCategory]</v>
      </c>
    </row>
    <row r="483" spans="1:15" x14ac:dyDescent="0.3">
      <c r="A483" t="s">
        <v>1793</v>
      </c>
      <c r="B483" t="s">
        <v>1950</v>
      </c>
      <c r="C483" t="s">
        <v>1959</v>
      </c>
      <c r="D483">
        <v>184</v>
      </c>
      <c r="E483" t="s">
        <v>1447</v>
      </c>
      <c r="F483" t="s">
        <v>1960</v>
      </c>
      <c r="G483" t="s">
        <v>1737</v>
      </c>
      <c r="H483" t="s">
        <v>1799</v>
      </c>
      <c r="I483" t="s">
        <v>1799</v>
      </c>
      <c r="J483" t="s">
        <v>1799</v>
      </c>
      <c r="K483" t="s">
        <v>1799</v>
      </c>
      <c r="L483" t="s">
        <v>1455</v>
      </c>
      <c r="M483" t="s">
        <v>1799</v>
      </c>
      <c r="N483" t="s">
        <v>1799</v>
      </c>
      <c r="O483" s="184" t="str">
        <f>"["&amp;$C483&amp;"]["&amp;$D483&amp;"]["&amp;$F483&amp;"]"</f>
        <v>[S05_DefaultValues][184][InstallationCategory]</v>
      </c>
    </row>
    <row r="484" spans="1:15" x14ac:dyDescent="0.3">
      <c r="A484" t="s">
        <v>1793</v>
      </c>
      <c r="B484" t="s">
        <v>1950</v>
      </c>
      <c r="C484" t="s">
        <v>1959</v>
      </c>
      <c r="D484">
        <v>185</v>
      </c>
      <c r="E484" t="s">
        <v>1447</v>
      </c>
      <c r="F484" t="s">
        <v>1960</v>
      </c>
      <c r="G484" t="s">
        <v>1737</v>
      </c>
      <c r="H484" t="s">
        <v>1799</v>
      </c>
      <c r="I484" t="s">
        <v>1799</v>
      </c>
      <c r="J484" t="s">
        <v>1799</v>
      </c>
      <c r="K484" t="s">
        <v>1799</v>
      </c>
      <c r="L484" t="s">
        <v>1455</v>
      </c>
      <c r="M484" t="s">
        <v>1799</v>
      </c>
      <c r="N484" t="s">
        <v>1799</v>
      </c>
      <c r="O484" s="184" t="str">
        <f>"["&amp;$C484&amp;"]["&amp;$D484&amp;"]["&amp;$F484&amp;"]"</f>
        <v>[S05_DefaultValues][185][InstallationCategory]</v>
      </c>
    </row>
    <row r="485" spans="1:15" x14ac:dyDescent="0.3">
      <c r="A485" t="s">
        <v>1793</v>
      </c>
      <c r="B485" t="s">
        <v>1950</v>
      </c>
      <c r="C485" t="s">
        <v>1959</v>
      </c>
      <c r="D485">
        <v>186</v>
      </c>
      <c r="E485" t="s">
        <v>1447</v>
      </c>
      <c r="F485" t="s">
        <v>1960</v>
      </c>
      <c r="G485" t="s">
        <v>1737</v>
      </c>
      <c r="H485" t="s">
        <v>1799</v>
      </c>
      <c r="I485" t="s">
        <v>1799</v>
      </c>
      <c r="J485" t="s">
        <v>1799</v>
      </c>
      <c r="K485" t="s">
        <v>1799</v>
      </c>
      <c r="L485" t="s">
        <v>1455</v>
      </c>
      <c r="M485" t="s">
        <v>1799</v>
      </c>
      <c r="N485" t="s">
        <v>1799</v>
      </c>
      <c r="O485" s="184" t="str">
        <f>"["&amp;$C485&amp;"]["&amp;$D485&amp;"]["&amp;$F485&amp;"]"</f>
        <v>[S05_DefaultValues][186][InstallationCategory]</v>
      </c>
    </row>
    <row r="486" spans="1:15" x14ac:dyDescent="0.3">
      <c r="A486" t="s">
        <v>1793</v>
      </c>
      <c r="B486" t="s">
        <v>1950</v>
      </c>
      <c r="C486" t="s">
        <v>1959</v>
      </c>
      <c r="D486">
        <v>187</v>
      </c>
      <c r="E486" t="s">
        <v>1447</v>
      </c>
      <c r="F486" t="s">
        <v>1960</v>
      </c>
      <c r="G486" t="s">
        <v>1737</v>
      </c>
      <c r="H486" t="s">
        <v>1799</v>
      </c>
      <c r="I486" t="s">
        <v>1799</v>
      </c>
      <c r="J486" t="s">
        <v>1799</v>
      </c>
      <c r="K486" t="s">
        <v>1799</v>
      </c>
      <c r="L486" t="s">
        <v>1455</v>
      </c>
      <c r="M486" t="s">
        <v>1799</v>
      </c>
      <c r="N486" t="s">
        <v>1799</v>
      </c>
      <c r="O486" s="184" t="str">
        <f>"["&amp;$C486&amp;"]["&amp;$D486&amp;"]["&amp;$F486&amp;"]"</f>
        <v>[S05_DefaultValues][187][InstallationCategory]</v>
      </c>
    </row>
    <row r="487" spans="1:15" x14ac:dyDescent="0.3">
      <c r="A487" t="s">
        <v>1793</v>
      </c>
      <c r="B487" t="s">
        <v>1950</v>
      </c>
      <c r="C487" t="s">
        <v>1959</v>
      </c>
      <c r="D487">
        <v>188</v>
      </c>
      <c r="E487" t="s">
        <v>1447</v>
      </c>
      <c r="F487" t="s">
        <v>1960</v>
      </c>
      <c r="G487" t="s">
        <v>1737</v>
      </c>
      <c r="H487" t="s">
        <v>1799</v>
      </c>
      <c r="I487" t="s">
        <v>1799</v>
      </c>
      <c r="J487" t="s">
        <v>1799</v>
      </c>
      <c r="K487" t="s">
        <v>1799</v>
      </c>
      <c r="L487" t="s">
        <v>1455</v>
      </c>
      <c r="M487" t="s">
        <v>1799</v>
      </c>
      <c r="N487" t="s">
        <v>1799</v>
      </c>
      <c r="O487" s="184" t="str">
        <f>"["&amp;$C487&amp;"]["&amp;$D487&amp;"]["&amp;$F487&amp;"]"</f>
        <v>[S05_DefaultValues][188][InstallationCategory]</v>
      </c>
    </row>
    <row r="488" spans="1:15" x14ac:dyDescent="0.3">
      <c r="A488" t="s">
        <v>1793</v>
      </c>
      <c r="B488" t="s">
        <v>1950</v>
      </c>
      <c r="C488" t="s">
        <v>1959</v>
      </c>
      <c r="D488">
        <v>189</v>
      </c>
      <c r="E488" t="s">
        <v>1447</v>
      </c>
      <c r="F488" t="s">
        <v>1960</v>
      </c>
      <c r="G488" t="s">
        <v>1737</v>
      </c>
      <c r="H488" t="s">
        <v>1799</v>
      </c>
      <c r="I488" t="s">
        <v>1799</v>
      </c>
      <c r="J488" t="s">
        <v>1799</v>
      </c>
      <c r="K488" t="s">
        <v>1799</v>
      </c>
      <c r="L488" t="s">
        <v>1455</v>
      </c>
      <c r="M488" t="s">
        <v>1799</v>
      </c>
      <c r="N488" t="s">
        <v>1799</v>
      </c>
      <c r="O488" s="184" t="str">
        <f>"["&amp;$C488&amp;"]["&amp;$D488&amp;"]["&amp;$F488&amp;"]"</f>
        <v>[S05_DefaultValues][189][InstallationCategory]</v>
      </c>
    </row>
    <row r="489" spans="1:15" x14ac:dyDescent="0.3">
      <c r="A489" t="s">
        <v>1793</v>
      </c>
      <c r="B489" t="s">
        <v>1950</v>
      </c>
      <c r="C489" t="s">
        <v>1959</v>
      </c>
      <c r="D489">
        <v>190</v>
      </c>
      <c r="E489" t="s">
        <v>1447</v>
      </c>
      <c r="F489" t="s">
        <v>1960</v>
      </c>
      <c r="G489" t="s">
        <v>1737</v>
      </c>
      <c r="H489" t="s">
        <v>1799</v>
      </c>
      <c r="I489" t="s">
        <v>1799</v>
      </c>
      <c r="J489" t="s">
        <v>1799</v>
      </c>
      <c r="K489" t="s">
        <v>1799</v>
      </c>
      <c r="L489" t="s">
        <v>1455</v>
      </c>
      <c r="M489" t="s">
        <v>1799</v>
      </c>
      <c r="N489" t="s">
        <v>1799</v>
      </c>
      <c r="O489" s="184" t="str">
        <f>"["&amp;$C489&amp;"]["&amp;$D489&amp;"]["&amp;$F489&amp;"]"</f>
        <v>[S05_DefaultValues][190][InstallationCategory]</v>
      </c>
    </row>
    <row r="490" spans="1:15" x14ac:dyDescent="0.3">
      <c r="A490" t="s">
        <v>1793</v>
      </c>
      <c r="B490" t="s">
        <v>1950</v>
      </c>
      <c r="C490" t="s">
        <v>1959</v>
      </c>
      <c r="D490">
        <v>191</v>
      </c>
      <c r="E490" t="s">
        <v>1447</v>
      </c>
      <c r="F490" t="s">
        <v>1960</v>
      </c>
      <c r="G490" t="s">
        <v>1737</v>
      </c>
      <c r="H490" t="s">
        <v>1799</v>
      </c>
      <c r="I490" t="s">
        <v>1799</v>
      </c>
      <c r="J490" t="s">
        <v>1799</v>
      </c>
      <c r="K490" t="s">
        <v>1799</v>
      </c>
      <c r="L490" t="s">
        <v>1455</v>
      </c>
      <c r="M490" t="s">
        <v>1799</v>
      </c>
      <c r="N490" t="s">
        <v>1799</v>
      </c>
      <c r="O490" s="184" t="str">
        <f>"["&amp;$C490&amp;"]["&amp;$D490&amp;"]["&amp;$F490&amp;"]"</f>
        <v>[S05_DefaultValues][191][InstallationCategory]</v>
      </c>
    </row>
    <row r="491" spans="1:15" x14ac:dyDescent="0.3">
      <c r="A491" t="s">
        <v>1793</v>
      </c>
      <c r="B491" t="s">
        <v>1950</v>
      </c>
      <c r="C491" t="s">
        <v>1959</v>
      </c>
      <c r="D491">
        <v>192</v>
      </c>
      <c r="E491" t="s">
        <v>1447</v>
      </c>
      <c r="F491" t="s">
        <v>1960</v>
      </c>
      <c r="G491" t="s">
        <v>1737</v>
      </c>
      <c r="H491" t="s">
        <v>1799</v>
      </c>
      <c r="I491" t="s">
        <v>1799</v>
      </c>
      <c r="J491" t="s">
        <v>1799</v>
      </c>
      <c r="K491" t="s">
        <v>1799</v>
      </c>
      <c r="L491" t="s">
        <v>1455</v>
      </c>
      <c r="M491" t="s">
        <v>1799</v>
      </c>
      <c r="N491" t="s">
        <v>1799</v>
      </c>
      <c r="O491" s="184" t="str">
        <f>"["&amp;$C491&amp;"]["&amp;$D491&amp;"]["&amp;$F491&amp;"]"</f>
        <v>[S05_DefaultValues][192][InstallationCategory]</v>
      </c>
    </row>
    <row r="492" spans="1:15" x14ac:dyDescent="0.3">
      <c r="A492" t="s">
        <v>1793</v>
      </c>
      <c r="B492" t="s">
        <v>1950</v>
      </c>
      <c r="C492" t="s">
        <v>1959</v>
      </c>
      <c r="D492">
        <v>193</v>
      </c>
      <c r="E492" t="s">
        <v>1447</v>
      </c>
      <c r="F492" t="s">
        <v>1960</v>
      </c>
      <c r="G492" t="s">
        <v>1737</v>
      </c>
      <c r="H492" t="s">
        <v>1799</v>
      </c>
      <c r="I492" t="s">
        <v>1799</v>
      </c>
      <c r="J492" t="s">
        <v>1799</v>
      </c>
      <c r="K492" t="s">
        <v>1799</v>
      </c>
      <c r="L492" t="s">
        <v>1455</v>
      </c>
      <c r="M492" t="s">
        <v>1799</v>
      </c>
      <c r="N492" t="s">
        <v>1799</v>
      </c>
      <c r="O492" s="184" t="str">
        <f>"["&amp;$C492&amp;"]["&amp;$D492&amp;"]["&amp;$F492&amp;"]"</f>
        <v>[S05_DefaultValues][193][InstallationCategory]</v>
      </c>
    </row>
    <row r="493" spans="1:15" x14ac:dyDescent="0.3">
      <c r="A493" t="s">
        <v>1793</v>
      </c>
      <c r="B493" t="s">
        <v>1950</v>
      </c>
      <c r="C493" t="s">
        <v>1959</v>
      </c>
      <c r="D493">
        <v>194</v>
      </c>
      <c r="E493" t="s">
        <v>1447</v>
      </c>
      <c r="F493" t="s">
        <v>1960</v>
      </c>
      <c r="G493" t="s">
        <v>1737</v>
      </c>
      <c r="H493" t="s">
        <v>1799</v>
      </c>
      <c r="I493" t="s">
        <v>1799</v>
      </c>
      <c r="J493" t="s">
        <v>1799</v>
      </c>
      <c r="K493" t="s">
        <v>1799</v>
      </c>
      <c r="L493" t="s">
        <v>1455</v>
      </c>
      <c r="M493" t="s">
        <v>1799</v>
      </c>
      <c r="N493" t="s">
        <v>1799</v>
      </c>
      <c r="O493" s="184" t="str">
        <f>"["&amp;$C493&amp;"]["&amp;$D493&amp;"]["&amp;$F493&amp;"]"</f>
        <v>[S05_DefaultValues][194][InstallationCategory]</v>
      </c>
    </row>
    <row r="494" spans="1:15" x14ac:dyDescent="0.3">
      <c r="A494" t="s">
        <v>1793</v>
      </c>
      <c r="B494" t="s">
        <v>1950</v>
      </c>
      <c r="C494" t="s">
        <v>1959</v>
      </c>
      <c r="D494">
        <v>195</v>
      </c>
      <c r="E494" t="s">
        <v>1447</v>
      </c>
      <c r="F494" t="s">
        <v>1960</v>
      </c>
      <c r="G494" t="s">
        <v>1737</v>
      </c>
      <c r="H494" t="s">
        <v>1799</v>
      </c>
      <c r="I494" t="s">
        <v>1799</v>
      </c>
      <c r="J494" t="s">
        <v>1799</v>
      </c>
      <c r="K494" t="s">
        <v>1799</v>
      </c>
      <c r="L494" t="s">
        <v>1455</v>
      </c>
      <c r="M494" t="s">
        <v>1799</v>
      </c>
      <c r="N494" t="s">
        <v>1799</v>
      </c>
      <c r="O494" s="184" t="str">
        <f>"["&amp;$C494&amp;"]["&amp;$D494&amp;"]["&amp;$F494&amp;"]"</f>
        <v>[S05_DefaultValues][195][InstallationCategory]</v>
      </c>
    </row>
    <row r="495" spans="1:15" x14ac:dyDescent="0.3">
      <c r="A495" t="s">
        <v>1793</v>
      </c>
      <c r="B495" t="s">
        <v>1950</v>
      </c>
      <c r="C495" t="s">
        <v>1959</v>
      </c>
      <c r="D495">
        <v>196</v>
      </c>
      <c r="E495" t="s">
        <v>1447</v>
      </c>
      <c r="F495" t="s">
        <v>1960</v>
      </c>
      <c r="G495" t="s">
        <v>1737</v>
      </c>
      <c r="H495" t="s">
        <v>1799</v>
      </c>
      <c r="I495" t="s">
        <v>1799</v>
      </c>
      <c r="J495" t="s">
        <v>1799</v>
      </c>
      <c r="K495" t="s">
        <v>1799</v>
      </c>
      <c r="L495" t="s">
        <v>1455</v>
      </c>
      <c r="M495" t="s">
        <v>1799</v>
      </c>
      <c r="N495" t="s">
        <v>1799</v>
      </c>
      <c r="O495" s="184" t="str">
        <f>"["&amp;$C495&amp;"]["&amp;$D495&amp;"]["&amp;$F495&amp;"]"</f>
        <v>[S05_DefaultValues][196][InstallationCategory]</v>
      </c>
    </row>
    <row r="496" spans="1:15" x14ac:dyDescent="0.3">
      <c r="A496" t="s">
        <v>1793</v>
      </c>
      <c r="B496" t="s">
        <v>1950</v>
      </c>
      <c r="C496" t="s">
        <v>1959</v>
      </c>
      <c r="D496">
        <v>197</v>
      </c>
      <c r="E496" t="s">
        <v>1447</v>
      </c>
      <c r="F496" t="s">
        <v>1960</v>
      </c>
      <c r="G496" t="s">
        <v>1737</v>
      </c>
      <c r="H496" t="s">
        <v>1799</v>
      </c>
      <c r="I496" t="s">
        <v>1799</v>
      </c>
      <c r="J496" t="s">
        <v>1799</v>
      </c>
      <c r="K496" t="s">
        <v>1799</v>
      </c>
      <c r="L496" t="s">
        <v>1455</v>
      </c>
      <c r="M496" t="s">
        <v>1799</v>
      </c>
      <c r="N496" t="s">
        <v>1799</v>
      </c>
      <c r="O496" s="184" t="str">
        <f>"["&amp;$C496&amp;"]["&amp;$D496&amp;"]["&amp;$F496&amp;"]"</f>
        <v>[S05_DefaultValues][197][InstallationCategory]</v>
      </c>
    </row>
    <row r="497" spans="1:15" x14ac:dyDescent="0.3">
      <c r="A497" t="s">
        <v>1793</v>
      </c>
      <c r="B497" t="s">
        <v>1950</v>
      </c>
      <c r="C497" t="s">
        <v>1959</v>
      </c>
      <c r="D497">
        <v>198</v>
      </c>
      <c r="E497" t="s">
        <v>1447</v>
      </c>
      <c r="F497" t="s">
        <v>1960</v>
      </c>
      <c r="G497" t="s">
        <v>1737</v>
      </c>
      <c r="H497" t="s">
        <v>1799</v>
      </c>
      <c r="I497" t="s">
        <v>1799</v>
      </c>
      <c r="J497" t="s">
        <v>1799</v>
      </c>
      <c r="K497" t="s">
        <v>1799</v>
      </c>
      <c r="L497" t="s">
        <v>1455</v>
      </c>
      <c r="M497" t="s">
        <v>1799</v>
      </c>
      <c r="N497" t="s">
        <v>1799</v>
      </c>
      <c r="O497" s="184" t="str">
        <f>"["&amp;$C497&amp;"]["&amp;$D497&amp;"]["&amp;$F497&amp;"]"</f>
        <v>[S05_DefaultValues][198][InstallationCategory]</v>
      </c>
    </row>
    <row r="498" spans="1:15" x14ac:dyDescent="0.3">
      <c r="A498" t="s">
        <v>1793</v>
      </c>
      <c r="B498" t="s">
        <v>1950</v>
      </c>
      <c r="C498" t="s">
        <v>1959</v>
      </c>
      <c r="D498">
        <v>199</v>
      </c>
      <c r="E498" t="s">
        <v>1447</v>
      </c>
      <c r="F498" t="s">
        <v>1960</v>
      </c>
      <c r="G498" t="s">
        <v>1737</v>
      </c>
      <c r="H498" t="s">
        <v>1799</v>
      </c>
      <c r="I498" t="s">
        <v>1799</v>
      </c>
      <c r="J498" t="s">
        <v>1799</v>
      </c>
      <c r="K498" t="s">
        <v>1799</v>
      </c>
      <c r="L498" t="s">
        <v>1455</v>
      </c>
      <c r="M498" t="s">
        <v>1799</v>
      </c>
      <c r="N498" t="s">
        <v>1799</v>
      </c>
      <c r="O498" s="184" t="str">
        <f>"["&amp;$C498&amp;"]["&amp;$D498&amp;"]["&amp;$F498&amp;"]"</f>
        <v>[S05_DefaultValues][199][InstallationCategory]</v>
      </c>
    </row>
    <row r="499" spans="1:15" x14ac:dyDescent="0.3">
      <c r="A499" t="s">
        <v>1793</v>
      </c>
      <c r="B499" t="s">
        <v>1950</v>
      </c>
      <c r="C499" t="s">
        <v>1959</v>
      </c>
      <c r="D499">
        <v>200</v>
      </c>
      <c r="E499" t="s">
        <v>1447</v>
      </c>
      <c r="F499" t="s">
        <v>1960</v>
      </c>
      <c r="G499" t="s">
        <v>1737</v>
      </c>
      <c r="H499" t="s">
        <v>1799</v>
      </c>
      <c r="I499" t="s">
        <v>1799</v>
      </c>
      <c r="J499" t="s">
        <v>1799</v>
      </c>
      <c r="K499" t="s">
        <v>1799</v>
      </c>
      <c r="L499" t="s">
        <v>1455</v>
      </c>
      <c r="M499" t="s">
        <v>1799</v>
      </c>
      <c r="N499" t="s">
        <v>1799</v>
      </c>
      <c r="O499" s="184" t="str">
        <f>"["&amp;$C499&amp;"]["&amp;$D499&amp;"]["&amp;$F499&amp;"]"</f>
        <v>[S05_DefaultValues][200][InstallationCategory]</v>
      </c>
    </row>
    <row r="500" spans="1:15" x14ac:dyDescent="0.3">
      <c r="A500" t="s">
        <v>1793</v>
      </c>
      <c r="B500" t="s">
        <v>1950</v>
      </c>
      <c r="C500" t="s">
        <v>1959</v>
      </c>
      <c r="D500">
        <v>201</v>
      </c>
      <c r="E500" t="s">
        <v>1447</v>
      </c>
      <c r="F500" t="s">
        <v>1960</v>
      </c>
      <c r="G500" t="s">
        <v>1737</v>
      </c>
      <c r="H500" t="s">
        <v>1799</v>
      </c>
      <c r="I500" t="s">
        <v>1799</v>
      </c>
      <c r="J500" t="s">
        <v>1799</v>
      </c>
      <c r="K500" t="s">
        <v>1799</v>
      </c>
      <c r="L500" t="s">
        <v>1455</v>
      </c>
      <c r="M500" t="s">
        <v>1799</v>
      </c>
      <c r="N500" t="s">
        <v>1799</v>
      </c>
      <c r="O500" s="184" t="str">
        <f>"["&amp;$C500&amp;"]["&amp;$D500&amp;"]["&amp;$F500&amp;"]"</f>
        <v>[S05_DefaultValues][201][InstallationCategory]</v>
      </c>
    </row>
    <row r="501" spans="1:15" x14ac:dyDescent="0.3">
      <c r="A501" t="s">
        <v>1793</v>
      </c>
      <c r="B501" t="s">
        <v>1950</v>
      </c>
      <c r="C501" t="s">
        <v>1959</v>
      </c>
      <c r="D501">
        <v>202</v>
      </c>
      <c r="E501" t="s">
        <v>1447</v>
      </c>
      <c r="F501" t="s">
        <v>1960</v>
      </c>
      <c r="G501" t="s">
        <v>1737</v>
      </c>
      <c r="H501" t="s">
        <v>1799</v>
      </c>
      <c r="I501" t="s">
        <v>1799</v>
      </c>
      <c r="J501" t="s">
        <v>1799</v>
      </c>
      <c r="K501" t="s">
        <v>1799</v>
      </c>
      <c r="L501" t="s">
        <v>1455</v>
      </c>
      <c r="M501" t="s">
        <v>1799</v>
      </c>
      <c r="N501" t="s">
        <v>1799</v>
      </c>
      <c r="O501" s="184" t="str">
        <f>"["&amp;$C501&amp;"]["&amp;$D501&amp;"]["&amp;$F501&amp;"]"</f>
        <v>[S05_DefaultValues][202][InstallationCategory]</v>
      </c>
    </row>
    <row r="502" spans="1:15" x14ac:dyDescent="0.3">
      <c r="A502" t="s">
        <v>1793</v>
      </c>
      <c r="B502" t="s">
        <v>1950</v>
      </c>
      <c r="C502" t="s">
        <v>1959</v>
      </c>
      <c r="D502">
        <v>203</v>
      </c>
      <c r="E502" t="s">
        <v>1447</v>
      </c>
      <c r="F502" t="s">
        <v>1960</v>
      </c>
      <c r="G502" t="s">
        <v>1737</v>
      </c>
      <c r="H502" t="s">
        <v>1799</v>
      </c>
      <c r="I502" t="s">
        <v>1799</v>
      </c>
      <c r="J502" t="s">
        <v>1799</v>
      </c>
      <c r="K502" t="s">
        <v>1799</v>
      </c>
      <c r="L502" t="s">
        <v>1455</v>
      </c>
      <c r="M502" t="s">
        <v>1799</v>
      </c>
      <c r="N502" t="s">
        <v>1799</v>
      </c>
      <c r="O502" s="184" t="str">
        <f>"["&amp;$C502&amp;"]["&amp;$D502&amp;"]["&amp;$F502&amp;"]"</f>
        <v>[S05_DefaultValues][203][InstallationCategory]</v>
      </c>
    </row>
    <row r="503" spans="1:15" x14ac:dyDescent="0.3">
      <c r="A503" t="s">
        <v>1793</v>
      </c>
      <c r="B503" t="s">
        <v>1950</v>
      </c>
      <c r="C503" t="s">
        <v>1959</v>
      </c>
      <c r="D503">
        <v>204</v>
      </c>
      <c r="E503" t="s">
        <v>1447</v>
      </c>
      <c r="F503" t="s">
        <v>1960</v>
      </c>
      <c r="G503" t="s">
        <v>1737</v>
      </c>
      <c r="H503" t="s">
        <v>1799</v>
      </c>
      <c r="I503" t="s">
        <v>1799</v>
      </c>
      <c r="J503" t="s">
        <v>1799</v>
      </c>
      <c r="K503" t="s">
        <v>1799</v>
      </c>
      <c r="L503" t="s">
        <v>1455</v>
      </c>
      <c r="M503" t="s">
        <v>1799</v>
      </c>
      <c r="N503" t="s">
        <v>1799</v>
      </c>
      <c r="O503" s="184" t="str">
        <f>"["&amp;$C503&amp;"]["&amp;$D503&amp;"]["&amp;$F503&amp;"]"</f>
        <v>[S05_DefaultValues][204][InstallationCategory]</v>
      </c>
    </row>
    <row r="504" spans="1:15" x14ac:dyDescent="0.3">
      <c r="A504" t="s">
        <v>1793</v>
      </c>
      <c r="B504" t="s">
        <v>1950</v>
      </c>
      <c r="C504" t="s">
        <v>1959</v>
      </c>
      <c r="D504">
        <v>205</v>
      </c>
      <c r="E504" t="s">
        <v>1447</v>
      </c>
      <c r="F504" t="s">
        <v>1960</v>
      </c>
      <c r="G504" t="s">
        <v>1737</v>
      </c>
      <c r="H504" t="s">
        <v>1799</v>
      </c>
      <c r="I504" t="s">
        <v>1799</v>
      </c>
      <c r="J504" t="s">
        <v>1799</v>
      </c>
      <c r="K504" t="s">
        <v>1799</v>
      </c>
      <c r="L504" t="s">
        <v>1455</v>
      </c>
      <c r="M504" t="s">
        <v>1799</v>
      </c>
      <c r="N504" t="s">
        <v>1799</v>
      </c>
      <c r="O504" s="184" t="str">
        <f>"["&amp;$C504&amp;"]["&amp;$D504&amp;"]["&amp;$F504&amp;"]"</f>
        <v>[S05_DefaultValues][205][InstallationCategory]</v>
      </c>
    </row>
    <row r="505" spans="1:15" x14ac:dyDescent="0.3">
      <c r="A505" t="s">
        <v>1793</v>
      </c>
      <c r="B505" t="s">
        <v>1950</v>
      </c>
      <c r="C505" t="s">
        <v>1959</v>
      </c>
      <c r="D505">
        <v>206</v>
      </c>
      <c r="E505" t="s">
        <v>1447</v>
      </c>
      <c r="F505" t="s">
        <v>1960</v>
      </c>
      <c r="G505" t="s">
        <v>1737</v>
      </c>
      <c r="H505" t="s">
        <v>1799</v>
      </c>
      <c r="I505" t="s">
        <v>1799</v>
      </c>
      <c r="J505" t="s">
        <v>1799</v>
      </c>
      <c r="K505" t="s">
        <v>1799</v>
      </c>
      <c r="L505" t="s">
        <v>1455</v>
      </c>
      <c r="M505" t="s">
        <v>1799</v>
      </c>
      <c r="N505" t="s">
        <v>1799</v>
      </c>
      <c r="O505" s="184" t="str">
        <f>"["&amp;$C505&amp;"]["&amp;$D505&amp;"]["&amp;$F505&amp;"]"</f>
        <v>[S05_DefaultValues][206][InstallationCategory]</v>
      </c>
    </row>
    <row r="506" spans="1:15" x14ac:dyDescent="0.3">
      <c r="A506" t="s">
        <v>1793</v>
      </c>
      <c r="B506" t="s">
        <v>1950</v>
      </c>
      <c r="C506" t="s">
        <v>1959</v>
      </c>
      <c r="D506">
        <v>207</v>
      </c>
      <c r="E506" t="s">
        <v>1447</v>
      </c>
      <c r="F506" t="s">
        <v>1960</v>
      </c>
      <c r="G506" t="s">
        <v>1737</v>
      </c>
      <c r="H506" t="s">
        <v>1799</v>
      </c>
      <c r="I506" t="s">
        <v>1799</v>
      </c>
      <c r="J506" t="s">
        <v>1799</v>
      </c>
      <c r="K506" t="s">
        <v>1799</v>
      </c>
      <c r="L506" t="s">
        <v>1455</v>
      </c>
      <c r="M506" t="s">
        <v>1799</v>
      </c>
      <c r="N506" t="s">
        <v>1799</v>
      </c>
      <c r="O506" s="184" t="str">
        <f>"["&amp;$C506&amp;"]["&amp;$D506&amp;"]["&amp;$F506&amp;"]"</f>
        <v>[S05_DefaultValues][207][InstallationCategory]</v>
      </c>
    </row>
    <row r="507" spans="1:15" x14ac:dyDescent="0.3">
      <c r="A507" t="s">
        <v>1793</v>
      </c>
      <c r="B507" t="s">
        <v>1950</v>
      </c>
      <c r="C507" t="s">
        <v>1959</v>
      </c>
      <c r="D507">
        <v>208</v>
      </c>
      <c r="E507" t="s">
        <v>1447</v>
      </c>
      <c r="F507" t="s">
        <v>1960</v>
      </c>
      <c r="G507" t="s">
        <v>1737</v>
      </c>
      <c r="H507" t="s">
        <v>1799</v>
      </c>
      <c r="I507" t="s">
        <v>1799</v>
      </c>
      <c r="J507" t="s">
        <v>1799</v>
      </c>
      <c r="K507" t="s">
        <v>1799</v>
      </c>
      <c r="L507" t="s">
        <v>1455</v>
      </c>
      <c r="M507" t="s">
        <v>1799</v>
      </c>
      <c r="N507" t="s">
        <v>1799</v>
      </c>
      <c r="O507" s="184" t="str">
        <f>"["&amp;$C507&amp;"]["&amp;$D507&amp;"]["&amp;$F507&amp;"]"</f>
        <v>[S05_DefaultValues][208][InstallationCategory]</v>
      </c>
    </row>
    <row r="508" spans="1:15" x14ac:dyDescent="0.3">
      <c r="A508" t="s">
        <v>1793</v>
      </c>
      <c r="B508" t="s">
        <v>1950</v>
      </c>
      <c r="C508" t="s">
        <v>1959</v>
      </c>
      <c r="D508">
        <v>209</v>
      </c>
      <c r="E508" t="s">
        <v>1447</v>
      </c>
      <c r="F508" t="s">
        <v>1960</v>
      </c>
      <c r="G508" t="s">
        <v>1737</v>
      </c>
      <c r="H508" t="s">
        <v>1799</v>
      </c>
      <c r="I508" t="s">
        <v>1799</v>
      </c>
      <c r="J508" t="s">
        <v>1799</v>
      </c>
      <c r="K508" t="s">
        <v>1799</v>
      </c>
      <c r="L508" t="s">
        <v>1455</v>
      </c>
      <c r="M508" t="s">
        <v>1799</v>
      </c>
      <c r="N508" t="s">
        <v>1799</v>
      </c>
      <c r="O508" s="184" t="str">
        <f>"["&amp;$C508&amp;"]["&amp;$D508&amp;"]["&amp;$F508&amp;"]"</f>
        <v>[S05_DefaultValues][209][InstallationCategory]</v>
      </c>
    </row>
    <row r="509" spans="1:15" x14ac:dyDescent="0.3">
      <c r="A509" t="s">
        <v>1793</v>
      </c>
      <c r="B509" t="s">
        <v>1950</v>
      </c>
      <c r="C509" t="s">
        <v>1959</v>
      </c>
      <c r="D509">
        <v>210</v>
      </c>
      <c r="E509" t="s">
        <v>1447</v>
      </c>
      <c r="F509" t="s">
        <v>1960</v>
      </c>
      <c r="G509" t="s">
        <v>1737</v>
      </c>
      <c r="H509" t="s">
        <v>1799</v>
      </c>
      <c r="I509" t="s">
        <v>1799</v>
      </c>
      <c r="J509" t="s">
        <v>1799</v>
      </c>
      <c r="K509" t="s">
        <v>1799</v>
      </c>
      <c r="L509" t="s">
        <v>1455</v>
      </c>
      <c r="M509" t="s">
        <v>1799</v>
      </c>
      <c r="N509" t="s">
        <v>1799</v>
      </c>
      <c r="O509" s="184" t="str">
        <f>"["&amp;$C509&amp;"]["&amp;$D509&amp;"]["&amp;$F509&amp;"]"</f>
        <v>[S05_DefaultValues][210][InstallationCategory]</v>
      </c>
    </row>
    <row r="510" spans="1:15" x14ac:dyDescent="0.3">
      <c r="A510" t="s">
        <v>1793</v>
      </c>
      <c r="B510" t="s">
        <v>1950</v>
      </c>
      <c r="C510" t="s">
        <v>1959</v>
      </c>
      <c r="D510">
        <v>211</v>
      </c>
      <c r="E510" t="s">
        <v>1447</v>
      </c>
      <c r="F510" t="s">
        <v>1960</v>
      </c>
      <c r="G510" t="s">
        <v>1737</v>
      </c>
      <c r="H510" t="s">
        <v>1799</v>
      </c>
      <c r="I510" t="s">
        <v>1799</v>
      </c>
      <c r="J510" t="s">
        <v>1799</v>
      </c>
      <c r="K510" t="s">
        <v>1799</v>
      </c>
      <c r="L510" t="s">
        <v>1455</v>
      </c>
      <c r="M510" t="s">
        <v>1799</v>
      </c>
      <c r="N510" t="s">
        <v>1799</v>
      </c>
      <c r="O510" s="184" t="str">
        <f>"["&amp;$C510&amp;"]["&amp;$D510&amp;"]["&amp;$F510&amp;"]"</f>
        <v>[S05_DefaultValues][211][InstallationCategory]</v>
      </c>
    </row>
    <row r="511" spans="1:15" x14ac:dyDescent="0.3">
      <c r="A511" t="s">
        <v>1793</v>
      </c>
      <c r="B511" t="s">
        <v>1950</v>
      </c>
      <c r="C511" t="s">
        <v>1959</v>
      </c>
      <c r="D511">
        <v>212</v>
      </c>
      <c r="E511" t="s">
        <v>1447</v>
      </c>
      <c r="F511" t="s">
        <v>1960</v>
      </c>
      <c r="G511" t="s">
        <v>1737</v>
      </c>
      <c r="H511" t="s">
        <v>1799</v>
      </c>
      <c r="I511" t="s">
        <v>1799</v>
      </c>
      <c r="J511" t="s">
        <v>1799</v>
      </c>
      <c r="K511" t="s">
        <v>1799</v>
      </c>
      <c r="L511" t="s">
        <v>1455</v>
      </c>
      <c r="M511" t="s">
        <v>1799</v>
      </c>
      <c r="N511" t="s">
        <v>1799</v>
      </c>
      <c r="O511" s="184" t="str">
        <f>"["&amp;$C511&amp;"]["&amp;$D511&amp;"]["&amp;$F511&amp;"]"</f>
        <v>[S05_DefaultValues][212][InstallationCategory]</v>
      </c>
    </row>
    <row r="512" spans="1:15" x14ac:dyDescent="0.3">
      <c r="A512" t="s">
        <v>1793</v>
      </c>
      <c r="B512" t="s">
        <v>1950</v>
      </c>
      <c r="C512" t="s">
        <v>1959</v>
      </c>
      <c r="D512">
        <v>213</v>
      </c>
      <c r="E512" t="s">
        <v>1447</v>
      </c>
      <c r="F512" t="s">
        <v>1960</v>
      </c>
      <c r="G512" t="s">
        <v>1737</v>
      </c>
      <c r="H512" t="s">
        <v>1799</v>
      </c>
      <c r="I512" t="s">
        <v>1799</v>
      </c>
      <c r="J512" t="s">
        <v>1799</v>
      </c>
      <c r="K512" t="s">
        <v>1799</v>
      </c>
      <c r="L512" t="s">
        <v>1455</v>
      </c>
      <c r="M512" t="s">
        <v>1799</v>
      </c>
      <c r="N512" t="s">
        <v>1799</v>
      </c>
      <c r="O512" s="184" t="str">
        <f>"["&amp;$C512&amp;"]["&amp;$D512&amp;"]["&amp;$F512&amp;"]"</f>
        <v>[S05_DefaultValues][213][InstallationCategory]</v>
      </c>
    </row>
    <row r="513" spans="1:15" x14ac:dyDescent="0.3">
      <c r="A513" t="s">
        <v>1793</v>
      </c>
      <c r="B513" t="s">
        <v>1950</v>
      </c>
      <c r="C513" t="s">
        <v>1959</v>
      </c>
      <c r="D513">
        <v>214</v>
      </c>
      <c r="E513" t="s">
        <v>1447</v>
      </c>
      <c r="F513" t="s">
        <v>1960</v>
      </c>
      <c r="G513" t="s">
        <v>1737</v>
      </c>
      <c r="H513" t="s">
        <v>1799</v>
      </c>
      <c r="I513" t="s">
        <v>1799</v>
      </c>
      <c r="J513" t="s">
        <v>1799</v>
      </c>
      <c r="K513" t="s">
        <v>1799</v>
      </c>
      <c r="L513" t="s">
        <v>1455</v>
      </c>
      <c r="M513" t="s">
        <v>1799</v>
      </c>
      <c r="N513" t="s">
        <v>1799</v>
      </c>
      <c r="O513" s="184" t="str">
        <f>"["&amp;$C513&amp;"]["&amp;$D513&amp;"]["&amp;$F513&amp;"]"</f>
        <v>[S05_DefaultValues][214][InstallationCategory]</v>
      </c>
    </row>
    <row r="514" spans="1:15" x14ac:dyDescent="0.3">
      <c r="A514" t="s">
        <v>1793</v>
      </c>
      <c r="B514" t="s">
        <v>1950</v>
      </c>
      <c r="C514" t="s">
        <v>1959</v>
      </c>
      <c r="D514">
        <v>215</v>
      </c>
      <c r="E514" t="s">
        <v>1447</v>
      </c>
      <c r="F514" t="s">
        <v>1960</v>
      </c>
      <c r="G514" t="s">
        <v>1737</v>
      </c>
      <c r="H514" t="s">
        <v>1799</v>
      </c>
      <c r="I514" t="s">
        <v>1799</v>
      </c>
      <c r="J514" t="s">
        <v>1799</v>
      </c>
      <c r="K514" t="s">
        <v>1799</v>
      </c>
      <c r="L514" t="s">
        <v>1455</v>
      </c>
      <c r="M514" t="s">
        <v>1799</v>
      </c>
      <c r="N514" t="s">
        <v>1799</v>
      </c>
      <c r="O514" s="184" t="str">
        <f>"["&amp;$C514&amp;"]["&amp;$D514&amp;"]["&amp;$F514&amp;"]"</f>
        <v>[S05_DefaultValues][215][InstallationCategory]</v>
      </c>
    </row>
    <row r="515" spans="1:15" x14ac:dyDescent="0.3">
      <c r="A515" t="s">
        <v>1793</v>
      </c>
      <c r="B515" t="s">
        <v>1950</v>
      </c>
      <c r="C515" t="s">
        <v>1959</v>
      </c>
      <c r="D515">
        <v>216</v>
      </c>
      <c r="E515" t="s">
        <v>1447</v>
      </c>
      <c r="F515" t="s">
        <v>1960</v>
      </c>
      <c r="G515" t="s">
        <v>1737</v>
      </c>
      <c r="H515" t="s">
        <v>1799</v>
      </c>
      <c r="I515" t="s">
        <v>1799</v>
      </c>
      <c r="J515" t="s">
        <v>1799</v>
      </c>
      <c r="K515" t="s">
        <v>1799</v>
      </c>
      <c r="L515" t="s">
        <v>1455</v>
      </c>
      <c r="M515" t="s">
        <v>1799</v>
      </c>
      <c r="N515" t="s">
        <v>1799</v>
      </c>
      <c r="O515" s="184" t="str">
        <f>"["&amp;$C515&amp;"]["&amp;$D515&amp;"]["&amp;$F515&amp;"]"</f>
        <v>[S05_DefaultValues][216][InstallationCategory]</v>
      </c>
    </row>
    <row r="516" spans="1:15" x14ac:dyDescent="0.3">
      <c r="A516" t="s">
        <v>1793</v>
      </c>
      <c r="B516" t="s">
        <v>1950</v>
      </c>
      <c r="C516" t="s">
        <v>1959</v>
      </c>
      <c r="D516">
        <v>217</v>
      </c>
      <c r="E516" t="s">
        <v>1447</v>
      </c>
      <c r="F516" t="s">
        <v>1960</v>
      </c>
      <c r="G516" t="s">
        <v>1737</v>
      </c>
      <c r="H516" t="s">
        <v>1799</v>
      </c>
      <c r="I516" t="s">
        <v>1799</v>
      </c>
      <c r="J516" t="s">
        <v>1799</v>
      </c>
      <c r="K516" t="s">
        <v>1799</v>
      </c>
      <c r="L516" t="s">
        <v>1455</v>
      </c>
      <c r="M516" t="s">
        <v>1799</v>
      </c>
      <c r="N516" t="s">
        <v>1799</v>
      </c>
      <c r="O516" s="184" t="str">
        <f>"["&amp;$C516&amp;"]["&amp;$D516&amp;"]["&amp;$F516&amp;"]"</f>
        <v>[S05_DefaultValues][217][InstallationCategory]</v>
      </c>
    </row>
    <row r="517" spans="1:15" x14ac:dyDescent="0.3">
      <c r="A517" t="s">
        <v>1793</v>
      </c>
      <c r="B517" t="s">
        <v>1950</v>
      </c>
      <c r="C517" t="s">
        <v>1959</v>
      </c>
      <c r="D517">
        <v>218</v>
      </c>
      <c r="E517" t="s">
        <v>1447</v>
      </c>
      <c r="F517" t="s">
        <v>1960</v>
      </c>
      <c r="G517" t="s">
        <v>1737</v>
      </c>
      <c r="H517" t="s">
        <v>1799</v>
      </c>
      <c r="I517" t="s">
        <v>1799</v>
      </c>
      <c r="J517" t="s">
        <v>1799</v>
      </c>
      <c r="K517" t="s">
        <v>1799</v>
      </c>
      <c r="L517" t="s">
        <v>1455</v>
      </c>
      <c r="M517" t="s">
        <v>1799</v>
      </c>
      <c r="N517" t="s">
        <v>1799</v>
      </c>
      <c r="O517" s="184" t="str">
        <f>"["&amp;$C517&amp;"]["&amp;$D517&amp;"]["&amp;$F517&amp;"]"</f>
        <v>[S05_DefaultValues][218][InstallationCategory]</v>
      </c>
    </row>
    <row r="518" spans="1:15" x14ac:dyDescent="0.3">
      <c r="A518" t="s">
        <v>1793</v>
      </c>
      <c r="B518" t="s">
        <v>1950</v>
      </c>
      <c r="C518" t="s">
        <v>1959</v>
      </c>
      <c r="D518">
        <v>219</v>
      </c>
      <c r="E518" t="s">
        <v>1447</v>
      </c>
      <c r="F518" t="s">
        <v>1960</v>
      </c>
      <c r="G518" t="s">
        <v>1737</v>
      </c>
      <c r="H518" t="s">
        <v>1799</v>
      </c>
      <c r="I518" t="s">
        <v>1799</v>
      </c>
      <c r="J518" t="s">
        <v>1799</v>
      </c>
      <c r="K518" t="s">
        <v>1799</v>
      </c>
      <c r="L518" t="s">
        <v>1455</v>
      </c>
      <c r="M518" t="s">
        <v>1799</v>
      </c>
      <c r="N518" t="s">
        <v>1799</v>
      </c>
      <c r="O518" s="184" t="str">
        <f>"["&amp;$C518&amp;"]["&amp;$D518&amp;"]["&amp;$F518&amp;"]"</f>
        <v>[S05_DefaultValues][219][InstallationCategory]</v>
      </c>
    </row>
    <row r="519" spans="1:15" x14ac:dyDescent="0.3">
      <c r="A519" t="s">
        <v>1793</v>
      </c>
      <c r="B519" t="s">
        <v>1950</v>
      </c>
      <c r="C519" t="s">
        <v>1959</v>
      </c>
      <c r="D519">
        <v>220</v>
      </c>
      <c r="E519" t="s">
        <v>1447</v>
      </c>
      <c r="F519" t="s">
        <v>1960</v>
      </c>
      <c r="G519" t="s">
        <v>1737</v>
      </c>
      <c r="H519" t="s">
        <v>1799</v>
      </c>
      <c r="I519" t="s">
        <v>1799</v>
      </c>
      <c r="J519" t="s">
        <v>1799</v>
      </c>
      <c r="K519" t="s">
        <v>1799</v>
      </c>
      <c r="L519" t="s">
        <v>1455</v>
      </c>
      <c r="M519" t="s">
        <v>1799</v>
      </c>
      <c r="N519" t="s">
        <v>1799</v>
      </c>
      <c r="O519" s="184" t="str">
        <f>"["&amp;$C519&amp;"]["&amp;$D519&amp;"]["&amp;$F519&amp;"]"</f>
        <v>[S05_DefaultValues][220][InstallationCategory]</v>
      </c>
    </row>
    <row r="520" spans="1:15" x14ac:dyDescent="0.3">
      <c r="A520" t="s">
        <v>1793</v>
      </c>
      <c r="B520" t="s">
        <v>1950</v>
      </c>
      <c r="C520" t="s">
        <v>1959</v>
      </c>
      <c r="D520">
        <v>221</v>
      </c>
      <c r="E520" t="s">
        <v>1447</v>
      </c>
      <c r="F520" t="s">
        <v>1960</v>
      </c>
      <c r="G520" t="s">
        <v>1737</v>
      </c>
      <c r="H520" t="s">
        <v>1799</v>
      </c>
      <c r="I520" t="s">
        <v>1799</v>
      </c>
      <c r="J520" t="s">
        <v>1799</v>
      </c>
      <c r="K520" t="s">
        <v>1799</v>
      </c>
      <c r="L520" t="s">
        <v>1455</v>
      </c>
      <c r="M520" t="s">
        <v>1799</v>
      </c>
      <c r="N520" t="s">
        <v>1799</v>
      </c>
      <c r="O520" s="184" t="str">
        <f>"["&amp;$C520&amp;"]["&amp;$D520&amp;"]["&amp;$F520&amp;"]"</f>
        <v>[S05_DefaultValues][221][InstallationCategory]</v>
      </c>
    </row>
    <row r="521" spans="1:15" x14ac:dyDescent="0.3">
      <c r="A521" t="s">
        <v>1793</v>
      </c>
      <c r="B521" t="s">
        <v>1950</v>
      </c>
      <c r="C521" t="s">
        <v>1959</v>
      </c>
      <c r="D521">
        <v>222</v>
      </c>
      <c r="E521" t="s">
        <v>1447</v>
      </c>
      <c r="F521" t="s">
        <v>1960</v>
      </c>
      <c r="G521" t="s">
        <v>1737</v>
      </c>
      <c r="H521" t="s">
        <v>1799</v>
      </c>
      <c r="I521" t="s">
        <v>1799</v>
      </c>
      <c r="J521" t="s">
        <v>1799</v>
      </c>
      <c r="K521" t="s">
        <v>1799</v>
      </c>
      <c r="L521" t="s">
        <v>1455</v>
      </c>
      <c r="M521" t="s">
        <v>1799</v>
      </c>
      <c r="N521" t="s">
        <v>1799</v>
      </c>
      <c r="O521" s="184" t="str">
        <f>"["&amp;$C521&amp;"]["&amp;$D521&amp;"]["&amp;$F521&amp;"]"</f>
        <v>[S05_DefaultValues][222][InstallationCategory]</v>
      </c>
    </row>
    <row r="522" spans="1:15" x14ac:dyDescent="0.3">
      <c r="A522" t="s">
        <v>1793</v>
      </c>
      <c r="B522" t="s">
        <v>1950</v>
      </c>
      <c r="C522" t="s">
        <v>1959</v>
      </c>
      <c r="D522">
        <v>223</v>
      </c>
      <c r="E522" t="s">
        <v>1447</v>
      </c>
      <c r="F522" t="s">
        <v>1960</v>
      </c>
      <c r="G522" t="s">
        <v>1737</v>
      </c>
      <c r="H522" t="s">
        <v>1799</v>
      </c>
      <c r="I522" t="s">
        <v>1799</v>
      </c>
      <c r="J522" t="s">
        <v>1799</v>
      </c>
      <c r="K522" t="s">
        <v>1799</v>
      </c>
      <c r="L522" t="s">
        <v>1455</v>
      </c>
      <c r="M522" t="s">
        <v>1799</v>
      </c>
      <c r="N522" t="s">
        <v>1799</v>
      </c>
      <c r="O522" s="184" t="str">
        <f>"["&amp;$C522&amp;"]["&amp;$D522&amp;"]["&amp;$F522&amp;"]"</f>
        <v>[S05_DefaultValues][223][InstallationCategory]</v>
      </c>
    </row>
    <row r="523" spans="1:15" x14ac:dyDescent="0.3">
      <c r="A523" t="s">
        <v>1793</v>
      </c>
      <c r="B523" t="s">
        <v>1950</v>
      </c>
      <c r="C523" t="s">
        <v>1959</v>
      </c>
      <c r="D523">
        <v>224</v>
      </c>
      <c r="E523" t="s">
        <v>1447</v>
      </c>
      <c r="F523" t="s">
        <v>1960</v>
      </c>
      <c r="G523" t="s">
        <v>1737</v>
      </c>
      <c r="H523" t="s">
        <v>1799</v>
      </c>
      <c r="I523" t="s">
        <v>1799</v>
      </c>
      <c r="J523" t="s">
        <v>1799</v>
      </c>
      <c r="K523" t="s">
        <v>1799</v>
      </c>
      <c r="L523" t="s">
        <v>1455</v>
      </c>
      <c r="M523" t="s">
        <v>1799</v>
      </c>
      <c r="N523" t="s">
        <v>1799</v>
      </c>
      <c r="O523" s="184" t="str">
        <f>"["&amp;$C523&amp;"]["&amp;$D523&amp;"]["&amp;$F523&amp;"]"</f>
        <v>[S05_DefaultValues][224][InstallationCategory]</v>
      </c>
    </row>
    <row r="524" spans="1:15" x14ac:dyDescent="0.3">
      <c r="A524" t="s">
        <v>1793</v>
      </c>
      <c r="B524" t="s">
        <v>1950</v>
      </c>
      <c r="C524" t="s">
        <v>1959</v>
      </c>
      <c r="D524">
        <v>225</v>
      </c>
      <c r="E524" t="s">
        <v>1447</v>
      </c>
      <c r="F524" t="s">
        <v>1960</v>
      </c>
      <c r="G524" t="s">
        <v>1737</v>
      </c>
      <c r="H524" t="s">
        <v>1799</v>
      </c>
      <c r="I524" t="s">
        <v>1799</v>
      </c>
      <c r="J524" t="s">
        <v>1799</v>
      </c>
      <c r="K524" t="s">
        <v>1799</v>
      </c>
      <c r="L524" t="s">
        <v>1455</v>
      </c>
      <c r="M524" t="s">
        <v>1799</v>
      </c>
      <c r="N524" t="s">
        <v>1799</v>
      </c>
      <c r="O524" s="184" t="str">
        <f>"["&amp;$C524&amp;"]["&amp;$D524&amp;"]["&amp;$F524&amp;"]"</f>
        <v>[S05_DefaultValues][225][InstallationCategory]</v>
      </c>
    </row>
    <row r="525" spans="1:15" x14ac:dyDescent="0.3">
      <c r="A525" t="s">
        <v>1793</v>
      </c>
      <c r="B525" t="s">
        <v>1950</v>
      </c>
      <c r="C525" t="s">
        <v>1959</v>
      </c>
      <c r="D525">
        <v>226</v>
      </c>
      <c r="E525" t="s">
        <v>1447</v>
      </c>
      <c r="F525" t="s">
        <v>1960</v>
      </c>
      <c r="G525" t="s">
        <v>1737</v>
      </c>
      <c r="H525" t="s">
        <v>1799</v>
      </c>
      <c r="I525" t="s">
        <v>1799</v>
      </c>
      <c r="J525" t="s">
        <v>1799</v>
      </c>
      <c r="K525" t="s">
        <v>1799</v>
      </c>
      <c r="L525" t="s">
        <v>1455</v>
      </c>
      <c r="M525" t="s">
        <v>1799</v>
      </c>
      <c r="N525" t="s">
        <v>1799</v>
      </c>
      <c r="O525" s="184" t="str">
        <f>"["&amp;$C525&amp;"]["&amp;$D525&amp;"]["&amp;$F525&amp;"]"</f>
        <v>[S05_DefaultValues][226][InstallationCategory]</v>
      </c>
    </row>
    <row r="526" spans="1:15" x14ac:dyDescent="0.3">
      <c r="A526" t="s">
        <v>1793</v>
      </c>
      <c r="B526" t="s">
        <v>1950</v>
      </c>
      <c r="C526" t="s">
        <v>1959</v>
      </c>
      <c r="D526">
        <v>227</v>
      </c>
      <c r="E526" t="s">
        <v>1447</v>
      </c>
      <c r="F526" t="s">
        <v>1960</v>
      </c>
      <c r="G526" t="s">
        <v>1737</v>
      </c>
      <c r="H526" t="s">
        <v>1799</v>
      </c>
      <c r="I526" t="s">
        <v>1799</v>
      </c>
      <c r="J526" t="s">
        <v>1799</v>
      </c>
      <c r="K526" t="s">
        <v>1799</v>
      </c>
      <c r="L526" t="s">
        <v>1455</v>
      </c>
      <c r="M526" t="s">
        <v>1799</v>
      </c>
      <c r="N526" t="s">
        <v>1799</v>
      </c>
      <c r="O526" s="184" t="str">
        <f>"["&amp;$C526&amp;"]["&amp;$D526&amp;"]["&amp;$F526&amp;"]"</f>
        <v>[S05_DefaultValues][227][InstallationCategory]</v>
      </c>
    </row>
    <row r="527" spans="1:15" x14ac:dyDescent="0.3">
      <c r="A527" t="s">
        <v>1793</v>
      </c>
      <c r="B527" t="s">
        <v>1950</v>
      </c>
      <c r="C527" t="s">
        <v>1959</v>
      </c>
      <c r="D527">
        <v>228</v>
      </c>
      <c r="E527" t="s">
        <v>1447</v>
      </c>
      <c r="F527" t="s">
        <v>1960</v>
      </c>
      <c r="G527" t="s">
        <v>1737</v>
      </c>
      <c r="H527" t="s">
        <v>1799</v>
      </c>
      <c r="I527" t="s">
        <v>1799</v>
      </c>
      <c r="J527" t="s">
        <v>1799</v>
      </c>
      <c r="K527" t="s">
        <v>1799</v>
      </c>
      <c r="L527" t="s">
        <v>1455</v>
      </c>
      <c r="M527" t="s">
        <v>1799</v>
      </c>
      <c r="N527" t="s">
        <v>1799</v>
      </c>
      <c r="O527" s="184" t="str">
        <f>"["&amp;$C527&amp;"]["&amp;$D527&amp;"]["&amp;$F527&amp;"]"</f>
        <v>[S05_DefaultValues][228][InstallationCategory]</v>
      </c>
    </row>
    <row r="528" spans="1:15" x14ac:dyDescent="0.3">
      <c r="A528" t="s">
        <v>1793</v>
      </c>
      <c r="B528" t="s">
        <v>1950</v>
      </c>
      <c r="C528" t="s">
        <v>1959</v>
      </c>
      <c r="D528">
        <v>229</v>
      </c>
      <c r="E528" t="s">
        <v>1447</v>
      </c>
      <c r="F528" t="s">
        <v>1960</v>
      </c>
      <c r="G528" t="s">
        <v>1737</v>
      </c>
      <c r="H528" t="s">
        <v>1799</v>
      </c>
      <c r="I528" t="s">
        <v>1799</v>
      </c>
      <c r="J528" t="s">
        <v>1799</v>
      </c>
      <c r="K528" t="s">
        <v>1799</v>
      </c>
      <c r="L528" t="s">
        <v>1455</v>
      </c>
      <c r="M528" t="s">
        <v>1799</v>
      </c>
      <c r="N528" t="s">
        <v>1799</v>
      </c>
      <c r="O528" s="184" t="str">
        <f>"["&amp;$C528&amp;"]["&amp;$D528&amp;"]["&amp;$F528&amp;"]"</f>
        <v>[S05_DefaultValues][229][InstallationCategory]</v>
      </c>
    </row>
    <row r="529" spans="1:15" x14ac:dyDescent="0.3">
      <c r="A529" t="s">
        <v>1793</v>
      </c>
      <c r="B529" t="s">
        <v>1950</v>
      </c>
      <c r="C529" t="s">
        <v>1959</v>
      </c>
      <c r="D529">
        <v>230</v>
      </c>
      <c r="E529" t="s">
        <v>1447</v>
      </c>
      <c r="F529" t="s">
        <v>1960</v>
      </c>
      <c r="G529" t="s">
        <v>1737</v>
      </c>
      <c r="H529" t="s">
        <v>1799</v>
      </c>
      <c r="I529" t="s">
        <v>1799</v>
      </c>
      <c r="J529" t="s">
        <v>1799</v>
      </c>
      <c r="K529" t="s">
        <v>1799</v>
      </c>
      <c r="L529" t="s">
        <v>1483</v>
      </c>
      <c r="M529" t="s">
        <v>1799</v>
      </c>
      <c r="N529" t="s">
        <v>1799</v>
      </c>
      <c r="O529" s="184" t="str">
        <f>"["&amp;$C529&amp;"]["&amp;$D529&amp;"]["&amp;$F529&amp;"]"</f>
        <v>[S05_DefaultValues][230][InstallationCategory]</v>
      </c>
    </row>
    <row r="530" spans="1:15" x14ac:dyDescent="0.3">
      <c r="A530" t="s">
        <v>1793</v>
      </c>
      <c r="B530" t="s">
        <v>1950</v>
      </c>
      <c r="C530" t="s">
        <v>1959</v>
      </c>
      <c r="D530">
        <v>231</v>
      </c>
      <c r="E530" t="s">
        <v>1447</v>
      </c>
      <c r="F530" t="s">
        <v>1960</v>
      </c>
      <c r="G530" t="s">
        <v>1737</v>
      </c>
      <c r="H530" t="s">
        <v>1799</v>
      </c>
      <c r="I530" t="s">
        <v>1799</v>
      </c>
      <c r="J530" t="s">
        <v>1799</v>
      </c>
      <c r="K530" t="s">
        <v>1799</v>
      </c>
      <c r="L530" t="s">
        <v>1483</v>
      </c>
      <c r="M530" t="s">
        <v>1799</v>
      </c>
      <c r="N530" t="s">
        <v>1799</v>
      </c>
      <c r="O530" s="184" t="str">
        <f>"["&amp;$C530&amp;"]["&amp;$D530&amp;"]["&amp;$F530&amp;"]"</f>
        <v>[S05_DefaultValues][231][InstallationCategory]</v>
      </c>
    </row>
    <row r="531" spans="1:15" x14ac:dyDescent="0.3">
      <c r="A531" t="s">
        <v>1793</v>
      </c>
      <c r="B531" t="s">
        <v>1950</v>
      </c>
      <c r="C531" t="s">
        <v>1959</v>
      </c>
      <c r="D531">
        <v>232</v>
      </c>
      <c r="E531" t="s">
        <v>1447</v>
      </c>
      <c r="F531" t="s">
        <v>1960</v>
      </c>
      <c r="G531" t="s">
        <v>1737</v>
      </c>
      <c r="H531" t="s">
        <v>1799</v>
      </c>
      <c r="I531" t="s">
        <v>1799</v>
      </c>
      <c r="J531" t="s">
        <v>1799</v>
      </c>
      <c r="K531" t="s">
        <v>1799</v>
      </c>
      <c r="L531" t="s">
        <v>1483</v>
      </c>
      <c r="M531" t="s">
        <v>1799</v>
      </c>
      <c r="N531" t="s">
        <v>1799</v>
      </c>
      <c r="O531" s="184" t="str">
        <f>"["&amp;$C531&amp;"]["&amp;$D531&amp;"]["&amp;$F531&amp;"]"</f>
        <v>[S05_DefaultValues][232][InstallationCategory]</v>
      </c>
    </row>
    <row r="532" spans="1:15" x14ac:dyDescent="0.3">
      <c r="A532" t="s">
        <v>1793</v>
      </c>
      <c r="B532" t="s">
        <v>1950</v>
      </c>
      <c r="C532" t="s">
        <v>1959</v>
      </c>
      <c r="D532">
        <v>233</v>
      </c>
      <c r="E532" t="s">
        <v>1447</v>
      </c>
      <c r="F532" t="s">
        <v>1960</v>
      </c>
      <c r="G532" t="s">
        <v>1737</v>
      </c>
      <c r="H532" t="s">
        <v>1799</v>
      </c>
      <c r="I532" t="s">
        <v>1799</v>
      </c>
      <c r="J532" t="s">
        <v>1799</v>
      </c>
      <c r="K532" t="s">
        <v>1799</v>
      </c>
      <c r="L532" t="s">
        <v>1483</v>
      </c>
      <c r="M532" t="s">
        <v>1799</v>
      </c>
      <c r="N532" t="s">
        <v>1799</v>
      </c>
      <c r="O532" s="184" t="str">
        <f>"["&amp;$C532&amp;"]["&amp;$D532&amp;"]["&amp;$F532&amp;"]"</f>
        <v>[S05_DefaultValues][233][InstallationCategory]</v>
      </c>
    </row>
    <row r="533" spans="1:15" x14ac:dyDescent="0.3">
      <c r="A533" t="s">
        <v>1793</v>
      </c>
      <c r="B533" t="s">
        <v>1950</v>
      </c>
      <c r="C533" t="s">
        <v>1959</v>
      </c>
      <c r="D533">
        <v>234</v>
      </c>
      <c r="E533" t="s">
        <v>1447</v>
      </c>
      <c r="F533" t="s">
        <v>1960</v>
      </c>
      <c r="G533" t="s">
        <v>1737</v>
      </c>
      <c r="H533" t="s">
        <v>1799</v>
      </c>
      <c r="I533" t="s">
        <v>1799</v>
      </c>
      <c r="J533" t="s">
        <v>1799</v>
      </c>
      <c r="K533" t="s">
        <v>1799</v>
      </c>
      <c r="L533" t="s">
        <v>1483</v>
      </c>
      <c r="M533" t="s">
        <v>1799</v>
      </c>
      <c r="N533" t="s">
        <v>1799</v>
      </c>
      <c r="O533" s="184" t="str">
        <f>"["&amp;$C533&amp;"]["&amp;$D533&amp;"]["&amp;$F533&amp;"]"</f>
        <v>[S05_DefaultValues][234][InstallationCategory]</v>
      </c>
    </row>
    <row r="534" spans="1:15" x14ac:dyDescent="0.3">
      <c r="A534" t="s">
        <v>1793</v>
      </c>
      <c r="B534" t="s">
        <v>1950</v>
      </c>
      <c r="C534" t="s">
        <v>1959</v>
      </c>
      <c r="D534">
        <v>235</v>
      </c>
      <c r="E534" t="s">
        <v>1447</v>
      </c>
      <c r="F534" t="s">
        <v>1960</v>
      </c>
      <c r="G534" t="s">
        <v>1737</v>
      </c>
      <c r="H534" t="s">
        <v>1799</v>
      </c>
      <c r="I534" t="s">
        <v>1799</v>
      </c>
      <c r="J534" t="s">
        <v>1799</v>
      </c>
      <c r="K534" t="s">
        <v>1799</v>
      </c>
      <c r="L534" t="s">
        <v>1483</v>
      </c>
      <c r="M534" t="s">
        <v>1799</v>
      </c>
      <c r="N534" t="s">
        <v>1799</v>
      </c>
      <c r="O534" s="184" t="str">
        <f>"["&amp;$C534&amp;"]["&amp;$D534&amp;"]["&amp;$F534&amp;"]"</f>
        <v>[S05_DefaultValues][235][InstallationCategory]</v>
      </c>
    </row>
    <row r="535" spans="1:15" x14ac:dyDescent="0.3">
      <c r="A535" t="s">
        <v>1793</v>
      </c>
      <c r="B535" t="s">
        <v>1950</v>
      </c>
      <c r="C535" t="s">
        <v>1959</v>
      </c>
      <c r="D535">
        <v>236</v>
      </c>
      <c r="E535" t="s">
        <v>1447</v>
      </c>
      <c r="F535" t="s">
        <v>1960</v>
      </c>
      <c r="G535" t="s">
        <v>1737</v>
      </c>
      <c r="H535" t="s">
        <v>1799</v>
      </c>
      <c r="I535" t="s">
        <v>1799</v>
      </c>
      <c r="J535" t="s">
        <v>1799</v>
      </c>
      <c r="K535" t="s">
        <v>1799</v>
      </c>
      <c r="L535" t="s">
        <v>1483</v>
      </c>
      <c r="M535" t="s">
        <v>1799</v>
      </c>
      <c r="N535" t="s">
        <v>1799</v>
      </c>
      <c r="O535" s="184" t="str">
        <f>"["&amp;$C535&amp;"]["&amp;$D535&amp;"]["&amp;$F535&amp;"]"</f>
        <v>[S05_DefaultValues][236][InstallationCategory]</v>
      </c>
    </row>
    <row r="536" spans="1:15" x14ac:dyDescent="0.3">
      <c r="A536" t="s">
        <v>1793</v>
      </c>
      <c r="B536" t="s">
        <v>1950</v>
      </c>
      <c r="C536" t="s">
        <v>1959</v>
      </c>
      <c r="D536">
        <v>237</v>
      </c>
      <c r="E536" t="s">
        <v>1447</v>
      </c>
      <c r="F536" t="s">
        <v>1960</v>
      </c>
      <c r="G536" t="s">
        <v>1737</v>
      </c>
      <c r="H536" t="s">
        <v>1799</v>
      </c>
      <c r="I536" t="s">
        <v>1799</v>
      </c>
      <c r="J536" t="s">
        <v>1799</v>
      </c>
      <c r="K536" t="s">
        <v>1799</v>
      </c>
      <c r="L536" t="s">
        <v>1483</v>
      </c>
      <c r="M536" t="s">
        <v>1799</v>
      </c>
      <c r="N536" t="s">
        <v>1799</v>
      </c>
      <c r="O536" s="184" t="str">
        <f>"["&amp;$C536&amp;"]["&amp;$D536&amp;"]["&amp;$F536&amp;"]"</f>
        <v>[S05_DefaultValues][237][InstallationCategory]</v>
      </c>
    </row>
    <row r="537" spans="1:15" x14ac:dyDescent="0.3">
      <c r="A537" t="s">
        <v>1793</v>
      </c>
      <c r="B537" t="s">
        <v>1950</v>
      </c>
      <c r="C537" t="s">
        <v>1959</v>
      </c>
      <c r="D537">
        <v>238</v>
      </c>
      <c r="E537" t="s">
        <v>1447</v>
      </c>
      <c r="F537" t="s">
        <v>1960</v>
      </c>
      <c r="G537" t="s">
        <v>1737</v>
      </c>
      <c r="H537" t="s">
        <v>1799</v>
      </c>
      <c r="I537" t="s">
        <v>1799</v>
      </c>
      <c r="J537" t="s">
        <v>1799</v>
      </c>
      <c r="K537" t="s">
        <v>1799</v>
      </c>
      <c r="L537" t="s">
        <v>1483</v>
      </c>
      <c r="M537" t="s">
        <v>1799</v>
      </c>
      <c r="N537" t="s">
        <v>1799</v>
      </c>
      <c r="O537" s="184" t="str">
        <f>"["&amp;$C537&amp;"]["&amp;$D537&amp;"]["&amp;$F537&amp;"]"</f>
        <v>[S05_DefaultValues][238][InstallationCategory]</v>
      </c>
    </row>
    <row r="538" spans="1:15" x14ac:dyDescent="0.3">
      <c r="A538" t="s">
        <v>1793</v>
      </c>
      <c r="B538" t="s">
        <v>1950</v>
      </c>
      <c r="C538" t="s">
        <v>1959</v>
      </c>
      <c r="D538">
        <v>239</v>
      </c>
      <c r="E538" t="s">
        <v>1447</v>
      </c>
      <c r="F538" t="s">
        <v>1960</v>
      </c>
      <c r="G538" t="s">
        <v>1737</v>
      </c>
      <c r="H538" t="s">
        <v>1799</v>
      </c>
      <c r="I538" t="s">
        <v>1799</v>
      </c>
      <c r="J538" t="s">
        <v>1799</v>
      </c>
      <c r="K538" t="s">
        <v>1799</v>
      </c>
      <c r="L538" t="s">
        <v>1483</v>
      </c>
      <c r="M538" t="s">
        <v>1799</v>
      </c>
      <c r="N538" t="s">
        <v>1799</v>
      </c>
      <c r="O538" s="184" t="str">
        <f>"["&amp;$C538&amp;"]["&amp;$D538&amp;"]["&amp;$F538&amp;"]"</f>
        <v>[S05_DefaultValues][239][InstallationCategory]</v>
      </c>
    </row>
    <row r="539" spans="1:15" x14ac:dyDescent="0.3">
      <c r="A539" t="s">
        <v>1793</v>
      </c>
      <c r="B539" t="s">
        <v>1950</v>
      </c>
      <c r="C539" t="s">
        <v>1959</v>
      </c>
      <c r="D539">
        <v>240</v>
      </c>
      <c r="E539" t="s">
        <v>1447</v>
      </c>
      <c r="F539" t="s">
        <v>1960</v>
      </c>
      <c r="G539" t="s">
        <v>1737</v>
      </c>
      <c r="H539" t="s">
        <v>1799</v>
      </c>
      <c r="I539" t="s">
        <v>1799</v>
      </c>
      <c r="J539" t="s">
        <v>1799</v>
      </c>
      <c r="K539" t="s">
        <v>1799</v>
      </c>
      <c r="L539" t="s">
        <v>1483</v>
      </c>
      <c r="M539" t="s">
        <v>1799</v>
      </c>
      <c r="N539" t="s">
        <v>1799</v>
      </c>
      <c r="O539" s="184" t="str">
        <f>"["&amp;$C539&amp;"]["&amp;$D539&amp;"]["&amp;$F539&amp;"]"</f>
        <v>[S05_DefaultValues][240][InstallationCategory]</v>
      </c>
    </row>
    <row r="540" spans="1:15" x14ac:dyDescent="0.3">
      <c r="A540" t="s">
        <v>1793</v>
      </c>
      <c r="B540" t="s">
        <v>1950</v>
      </c>
      <c r="C540" t="s">
        <v>1959</v>
      </c>
      <c r="D540">
        <v>241</v>
      </c>
      <c r="E540" t="s">
        <v>1447</v>
      </c>
      <c r="F540" t="s">
        <v>1960</v>
      </c>
      <c r="G540" t="s">
        <v>1737</v>
      </c>
      <c r="H540" t="s">
        <v>1799</v>
      </c>
      <c r="I540" t="s">
        <v>1799</v>
      </c>
      <c r="J540" t="s">
        <v>1799</v>
      </c>
      <c r="K540" t="s">
        <v>1799</v>
      </c>
      <c r="L540" t="s">
        <v>1483</v>
      </c>
      <c r="M540" t="s">
        <v>1799</v>
      </c>
      <c r="N540" t="s">
        <v>1799</v>
      </c>
      <c r="O540" s="184" t="str">
        <f>"["&amp;$C540&amp;"]["&amp;$D540&amp;"]["&amp;$F540&amp;"]"</f>
        <v>[S05_DefaultValues][241][InstallationCategory]</v>
      </c>
    </row>
    <row r="541" spans="1:15" x14ac:dyDescent="0.3">
      <c r="A541" t="s">
        <v>1793</v>
      </c>
      <c r="B541" t="s">
        <v>1950</v>
      </c>
      <c r="C541" t="s">
        <v>1959</v>
      </c>
      <c r="D541">
        <v>242</v>
      </c>
      <c r="E541" t="s">
        <v>1447</v>
      </c>
      <c r="F541" t="s">
        <v>1960</v>
      </c>
      <c r="G541" t="s">
        <v>1737</v>
      </c>
      <c r="H541" t="s">
        <v>1799</v>
      </c>
      <c r="I541" t="s">
        <v>1799</v>
      </c>
      <c r="J541" t="s">
        <v>1799</v>
      </c>
      <c r="K541" t="s">
        <v>1799</v>
      </c>
      <c r="L541" t="s">
        <v>1483</v>
      </c>
      <c r="M541" t="s">
        <v>1799</v>
      </c>
      <c r="N541" t="s">
        <v>1799</v>
      </c>
      <c r="O541" s="184" t="str">
        <f>"["&amp;$C541&amp;"]["&amp;$D541&amp;"]["&amp;$F541&amp;"]"</f>
        <v>[S05_DefaultValues][242][InstallationCategory]</v>
      </c>
    </row>
    <row r="542" spans="1:15" x14ac:dyDescent="0.3">
      <c r="A542" t="s">
        <v>1793</v>
      </c>
      <c r="B542" t="s">
        <v>1950</v>
      </c>
      <c r="C542" t="s">
        <v>1959</v>
      </c>
      <c r="D542">
        <v>243</v>
      </c>
      <c r="E542" t="s">
        <v>1447</v>
      </c>
      <c r="F542" t="s">
        <v>1960</v>
      </c>
      <c r="G542" t="s">
        <v>1737</v>
      </c>
      <c r="H542" t="s">
        <v>1799</v>
      </c>
      <c r="I542" t="s">
        <v>1799</v>
      </c>
      <c r="J542" t="s">
        <v>1799</v>
      </c>
      <c r="K542" t="s">
        <v>1799</v>
      </c>
      <c r="L542" t="s">
        <v>1483</v>
      </c>
      <c r="M542" t="s">
        <v>1799</v>
      </c>
      <c r="N542" t="s">
        <v>1799</v>
      </c>
      <c r="O542" s="184" t="str">
        <f>"["&amp;$C542&amp;"]["&amp;$D542&amp;"]["&amp;$F542&amp;"]"</f>
        <v>[S05_DefaultValues][243][InstallationCategory]</v>
      </c>
    </row>
    <row r="543" spans="1:15" x14ac:dyDescent="0.3">
      <c r="A543" t="s">
        <v>1793</v>
      </c>
      <c r="B543" t="s">
        <v>1950</v>
      </c>
      <c r="C543" t="s">
        <v>1959</v>
      </c>
      <c r="D543">
        <v>244</v>
      </c>
      <c r="E543" t="s">
        <v>1447</v>
      </c>
      <c r="F543" t="s">
        <v>1960</v>
      </c>
      <c r="G543" t="s">
        <v>1737</v>
      </c>
      <c r="H543" t="s">
        <v>1799</v>
      </c>
      <c r="I543" t="s">
        <v>1799</v>
      </c>
      <c r="J543" t="s">
        <v>1799</v>
      </c>
      <c r="K543" t="s">
        <v>1799</v>
      </c>
      <c r="L543" t="s">
        <v>1483</v>
      </c>
      <c r="M543" t="s">
        <v>1799</v>
      </c>
      <c r="N543" t="s">
        <v>1799</v>
      </c>
      <c r="O543" s="184" t="str">
        <f>"["&amp;$C543&amp;"]["&amp;$D543&amp;"]["&amp;$F543&amp;"]"</f>
        <v>[S05_DefaultValues][244][InstallationCategory]</v>
      </c>
    </row>
    <row r="544" spans="1:15" x14ac:dyDescent="0.3">
      <c r="A544" t="s">
        <v>1793</v>
      </c>
      <c r="B544" t="s">
        <v>1950</v>
      </c>
      <c r="C544" t="s">
        <v>1959</v>
      </c>
      <c r="D544">
        <v>245</v>
      </c>
      <c r="E544" t="s">
        <v>1447</v>
      </c>
      <c r="F544" t="s">
        <v>1960</v>
      </c>
      <c r="G544" t="s">
        <v>1737</v>
      </c>
      <c r="H544" t="s">
        <v>1799</v>
      </c>
      <c r="I544" t="s">
        <v>1799</v>
      </c>
      <c r="J544" t="s">
        <v>1799</v>
      </c>
      <c r="K544" t="s">
        <v>1799</v>
      </c>
      <c r="L544" t="s">
        <v>1483</v>
      </c>
      <c r="M544" t="s">
        <v>1799</v>
      </c>
      <c r="N544" t="s">
        <v>1799</v>
      </c>
      <c r="O544" s="184" t="str">
        <f>"["&amp;$C544&amp;"]["&amp;$D544&amp;"]["&amp;$F544&amp;"]"</f>
        <v>[S05_DefaultValues][245][InstallationCategory]</v>
      </c>
    </row>
    <row r="545" spans="1:15" x14ac:dyDescent="0.3">
      <c r="A545" t="s">
        <v>1793</v>
      </c>
      <c r="B545" t="s">
        <v>1950</v>
      </c>
      <c r="C545" t="s">
        <v>1959</v>
      </c>
      <c r="D545">
        <v>246</v>
      </c>
      <c r="E545" t="s">
        <v>1447</v>
      </c>
      <c r="F545" t="s">
        <v>1960</v>
      </c>
      <c r="G545" t="s">
        <v>1737</v>
      </c>
      <c r="H545" t="s">
        <v>1799</v>
      </c>
      <c r="I545" t="s">
        <v>1799</v>
      </c>
      <c r="J545" t="s">
        <v>1799</v>
      </c>
      <c r="K545" t="s">
        <v>1799</v>
      </c>
      <c r="L545" t="s">
        <v>1483</v>
      </c>
      <c r="M545" t="s">
        <v>1799</v>
      </c>
      <c r="N545" t="s">
        <v>1799</v>
      </c>
      <c r="O545" s="184" t="str">
        <f>"["&amp;$C545&amp;"]["&amp;$D545&amp;"]["&amp;$F545&amp;"]"</f>
        <v>[S05_DefaultValues][246][InstallationCategory]</v>
      </c>
    </row>
    <row r="546" spans="1:15" x14ac:dyDescent="0.3">
      <c r="A546" t="s">
        <v>1793</v>
      </c>
      <c r="B546" t="s">
        <v>1950</v>
      </c>
      <c r="C546" t="s">
        <v>1959</v>
      </c>
      <c r="D546">
        <v>247</v>
      </c>
      <c r="E546" t="s">
        <v>1447</v>
      </c>
      <c r="F546" t="s">
        <v>1960</v>
      </c>
      <c r="G546" t="s">
        <v>1737</v>
      </c>
      <c r="H546" t="s">
        <v>1799</v>
      </c>
      <c r="I546" t="s">
        <v>1799</v>
      </c>
      <c r="J546" t="s">
        <v>1799</v>
      </c>
      <c r="K546" t="s">
        <v>1799</v>
      </c>
      <c r="L546" t="s">
        <v>1483</v>
      </c>
      <c r="M546" t="s">
        <v>1799</v>
      </c>
      <c r="N546" t="s">
        <v>1799</v>
      </c>
      <c r="O546" s="184" t="str">
        <f>"["&amp;$C546&amp;"]["&amp;$D546&amp;"]["&amp;$F546&amp;"]"</f>
        <v>[S05_DefaultValues][247][InstallationCategory]</v>
      </c>
    </row>
    <row r="547" spans="1:15" x14ac:dyDescent="0.3">
      <c r="A547" t="s">
        <v>1793</v>
      </c>
      <c r="B547" t="s">
        <v>1950</v>
      </c>
      <c r="C547" t="s">
        <v>1959</v>
      </c>
      <c r="D547">
        <v>248</v>
      </c>
      <c r="E547" t="s">
        <v>1447</v>
      </c>
      <c r="F547" t="s">
        <v>1960</v>
      </c>
      <c r="G547" t="s">
        <v>1737</v>
      </c>
      <c r="H547" t="s">
        <v>1799</v>
      </c>
      <c r="I547" t="s">
        <v>1799</v>
      </c>
      <c r="J547" t="s">
        <v>1799</v>
      </c>
      <c r="K547" t="s">
        <v>1799</v>
      </c>
      <c r="L547" t="s">
        <v>1483</v>
      </c>
      <c r="M547" t="s">
        <v>1799</v>
      </c>
      <c r="N547" t="s">
        <v>1799</v>
      </c>
      <c r="O547" s="184" t="str">
        <f>"["&amp;$C547&amp;"]["&amp;$D547&amp;"]["&amp;$F547&amp;"]"</f>
        <v>[S05_DefaultValues][248][InstallationCategory]</v>
      </c>
    </row>
    <row r="548" spans="1:15" x14ac:dyDescent="0.3">
      <c r="A548" t="s">
        <v>1793</v>
      </c>
      <c r="B548" t="s">
        <v>1950</v>
      </c>
      <c r="C548" t="s">
        <v>1959</v>
      </c>
      <c r="D548">
        <v>249</v>
      </c>
      <c r="E548" t="s">
        <v>1447</v>
      </c>
      <c r="F548" t="s">
        <v>1960</v>
      </c>
      <c r="G548" t="s">
        <v>1737</v>
      </c>
      <c r="H548" t="s">
        <v>1799</v>
      </c>
      <c r="I548" t="s">
        <v>1799</v>
      </c>
      <c r="J548" t="s">
        <v>1799</v>
      </c>
      <c r="K548" t="s">
        <v>1799</v>
      </c>
      <c r="L548" t="s">
        <v>1483</v>
      </c>
      <c r="M548" t="s">
        <v>1799</v>
      </c>
      <c r="N548" t="s">
        <v>1799</v>
      </c>
      <c r="O548" s="184" t="str">
        <f>"["&amp;$C548&amp;"]["&amp;$D548&amp;"]["&amp;$F548&amp;"]"</f>
        <v>[S05_DefaultValues][249][InstallationCategory]</v>
      </c>
    </row>
    <row r="549" spans="1:15" x14ac:dyDescent="0.3">
      <c r="A549" t="s">
        <v>1793</v>
      </c>
      <c r="B549" t="s">
        <v>1950</v>
      </c>
      <c r="C549" t="s">
        <v>1959</v>
      </c>
      <c r="D549">
        <v>250</v>
      </c>
      <c r="E549" t="s">
        <v>1447</v>
      </c>
      <c r="F549" t="s">
        <v>1960</v>
      </c>
      <c r="G549" t="s">
        <v>1737</v>
      </c>
      <c r="H549" t="s">
        <v>1799</v>
      </c>
      <c r="I549" t="s">
        <v>1799</v>
      </c>
      <c r="J549" t="s">
        <v>1799</v>
      </c>
      <c r="K549" t="s">
        <v>1799</v>
      </c>
      <c r="L549" t="s">
        <v>1483</v>
      </c>
      <c r="M549" t="s">
        <v>1799</v>
      </c>
      <c r="N549" t="s">
        <v>1799</v>
      </c>
      <c r="O549" s="184" t="str">
        <f>"["&amp;$C549&amp;"]["&amp;$D549&amp;"]["&amp;$F549&amp;"]"</f>
        <v>[S05_DefaultValues][250][InstallationCategory]</v>
      </c>
    </row>
    <row r="550" spans="1:15" x14ac:dyDescent="0.3">
      <c r="A550" t="s">
        <v>1793</v>
      </c>
      <c r="B550" t="s">
        <v>1950</v>
      </c>
      <c r="C550" t="s">
        <v>1959</v>
      </c>
      <c r="D550">
        <v>251</v>
      </c>
      <c r="E550" t="s">
        <v>1447</v>
      </c>
      <c r="F550" t="s">
        <v>1960</v>
      </c>
      <c r="G550" t="s">
        <v>1737</v>
      </c>
      <c r="H550" t="s">
        <v>1799</v>
      </c>
      <c r="I550" t="s">
        <v>1799</v>
      </c>
      <c r="J550" t="s">
        <v>1799</v>
      </c>
      <c r="K550" t="s">
        <v>1799</v>
      </c>
      <c r="L550" t="s">
        <v>1483</v>
      </c>
      <c r="M550" t="s">
        <v>1799</v>
      </c>
      <c r="N550" t="s">
        <v>1799</v>
      </c>
      <c r="O550" s="184" t="str">
        <f>"["&amp;$C550&amp;"]["&amp;$D550&amp;"]["&amp;$F550&amp;"]"</f>
        <v>[S05_DefaultValues][251][InstallationCategory]</v>
      </c>
    </row>
    <row r="551" spans="1:15" x14ac:dyDescent="0.3">
      <c r="A551" t="s">
        <v>1793</v>
      </c>
      <c r="B551" t="s">
        <v>1950</v>
      </c>
      <c r="C551" t="s">
        <v>1959</v>
      </c>
      <c r="D551">
        <v>252</v>
      </c>
      <c r="E551" t="s">
        <v>1447</v>
      </c>
      <c r="F551" t="s">
        <v>1960</v>
      </c>
      <c r="G551" t="s">
        <v>1737</v>
      </c>
      <c r="H551" t="s">
        <v>1799</v>
      </c>
      <c r="I551" t="s">
        <v>1799</v>
      </c>
      <c r="J551" t="s">
        <v>1799</v>
      </c>
      <c r="K551" t="s">
        <v>1799</v>
      </c>
      <c r="L551" t="s">
        <v>1483</v>
      </c>
      <c r="M551" t="s">
        <v>1799</v>
      </c>
      <c r="N551" t="s">
        <v>1799</v>
      </c>
      <c r="O551" s="184" t="str">
        <f>"["&amp;$C551&amp;"]["&amp;$D551&amp;"]["&amp;$F551&amp;"]"</f>
        <v>[S05_DefaultValues][252][InstallationCategory]</v>
      </c>
    </row>
    <row r="552" spans="1:15" x14ac:dyDescent="0.3">
      <c r="A552" t="s">
        <v>1793</v>
      </c>
      <c r="B552" t="s">
        <v>1950</v>
      </c>
      <c r="C552" t="s">
        <v>1959</v>
      </c>
      <c r="D552">
        <v>253</v>
      </c>
      <c r="E552" t="s">
        <v>1447</v>
      </c>
      <c r="F552" t="s">
        <v>1960</v>
      </c>
      <c r="G552" t="s">
        <v>1737</v>
      </c>
      <c r="H552" t="s">
        <v>1799</v>
      </c>
      <c r="I552" t="s">
        <v>1799</v>
      </c>
      <c r="J552" t="s">
        <v>1799</v>
      </c>
      <c r="K552" t="s">
        <v>1799</v>
      </c>
      <c r="L552" t="s">
        <v>1483</v>
      </c>
      <c r="M552" t="s">
        <v>1799</v>
      </c>
      <c r="N552" t="s">
        <v>1799</v>
      </c>
      <c r="O552" s="184" t="str">
        <f>"["&amp;$C552&amp;"]["&amp;$D552&amp;"]["&amp;$F552&amp;"]"</f>
        <v>[S05_DefaultValues][253][InstallationCategory]</v>
      </c>
    </row>
    <row r="553" spans="1:15" x14ac:dyDescent="0.3">
      <c r="A553" t="s">
        <v>1793</v>
      </c>
      <c r="B553" t="s">
        <v>1950</v>
      </c>
      <c r="C553" t="s">
        <v>1959</v>
      </c>
      <c r="D553">
        <v>254</v>
      </c>
      <c r="E553" t="s">
        <v>1447</v>
      </c>
      <c r="F553" t="s">
        <v>1960</v>
      </c>
      <c r="G553" t="s">
        <v>1737</v>
      </c>
      <c r="H553" t="s">
        <v>1799</v>
      </c>
      <c r="I553" t="s">
        <v>1799</v>
      </c>
      <c r="J553" t="s">
        <v>1799</v>
      </c>
      <c r="K553" t="s">
        <v>1799</v>
      </c>
      <c r="L553" t="s">
        <v>1483</v>
      </c>
      <c r="M553" t="s">
        <v>1799</v>
      </c>
      <c r="N553" t="s">
        <v>1799</v>
      </c>
      <c r="O553" s="184" t="str">
        <f>"["&amp;$C553&amp;"]["&amp;$D553&amp;"]["&amp;$F553&amp;"]"</f>
        <v>[S05_DefaultValues][254][InstallationCategory]</v>
      </c>
    </row>
    <row r="554" spans="1:15" x14ac:dyDescent="0.3">
      <c r="A554" t="s">
        <v>1793</v>
      </c>
      <c r="B554" t="s">
        <v>1950</v>
      </c>
      <c r="C554" t="s">
        <v>1959</v>
      </c>
      <c r="D554">
        <v>255</v>
      </c>
      <c r="E554" t="s">
        <v>1447</v>
      </c>
      <c r="F554" t="s">
        <v>1960</v>
      </c>
      <c r="G554" t="s">
        <v>1737</v>
      </c>
      <c r="H554" t="s">
        <v>1799</v>
      </c>
      <c r="I554" t="s">
        <v>1799</v>
      </c>
      <c r="J554" t="s">
        <v>1799</v>
      </c>
      <c r="K554" t="s">
        <v>1799</v>
      </c>
      <c r="L554" t="s">
        <v>1483</v>
      </c>
      <c r="M554" t="s">
        <v>1799</v>
      </c>
      <c r="N554" t="s">
        <v>1799</v>
      </c>
      <c r="O554" s="184" t="str">
        <f>"["&amp;$C554&amp;"]["&amp;$D554&amp;"]["&amp;$F554&amp;"]"</f>
        <v>[S05_DefaultValues][255][InstallationCategory]</v>
      </c>
    </row>
    <row r="555" spans="1:15" x14ac:dyDescent="0.3">
      <c r="A555" t="s">
        <v>1793</v>
      </c>
      <c r="B555" t="s">
        <v>1950</v>
      </c>
      <c r="C555" t="s">
        <v>1959</v>
      </c>
      <c r="D555">
        <v>256</v>
      </c>
      <c r="E555" t="s">
        <v>1447</v>
      </c>
      <c r="F555" t="s">
        <v>1960</v>
      </c>
      <c r="G555" t="s">
        <v>1737</v>
      </c>
      <c r="H555" t="s">
        <v>1799</v>
      </c>
      <c r="I555" t="s">
        <v>1799</v>
      </c>
      <c r="J555" t="s">
        <v>1799</v>
      </c>
      <c r="K555" t="s">
        <v>1799</v>
      </c>
      <c r="L555" t="s">
        <v>1483</v>
      </c>
      <c r="M555" t="s">
        <v>1799</v>
      </c>
      <c r="N555" t="s">
        <v>1799</v>
      </c>
      <c r="O555" s="184" t="str">
        <f>"["&amp;$C555&amp;"]["&amp;$D555&amp;"]["&amp;$F555&amp;"]"</f>
        <v>[S05_DefaultValues][256][InstallationCategory]</v>
      </c>
    </row>
    <row r="556" spans="1:15" x14ac:dyDescent="0.3">
      <c r="A556" t="s">
        <v>1793</v>
      </c>
      <c r="B556" t="s">
        <v>1950</v>
      </c>
      <c r="C556" t="s">
        <v>1959</v>
      </c>
      <c r="D556">
        <v>257</v>
      </c>
      <c r="E556" t="s">
        <v>1447</v>
      </c>
      <c r="F556" t="s">
        <v>1960</v>
      </c>
      <c r="G556" t="s">
        <v>1737</v>
      </c>
      <c r="H556" t="s">
        <v>1799</v>
      </c>
      <c r="I556" t="s">
        <v>1799</v>
      </c>
      <c r="J556" t="s">
        <v>1799</v>
      </c>
      <c r="K556" t="s">
        <v>1799</v>
      </c>
      <c r="L556" t="s">
        <v>1483</v>
      </c>
      <c r="M556" t="s">
        <v>1799</v>
      </c>
      <c r="N556" t="s">
        <v>1799</v>
      </c>
      <c r="O556" s="184" t="str">
        <f>"["&amp;$C556&amp;"]["&amp;$D556&amp;"]["&amp;$F556&amp;"]"</f>
        <v>[S05_DefaultValues][257][InstallationCategory]</v>
      </c>
    </row>
    <row r="557" spans="1:15" x14ac:dyDescent="0.3">
      <c r="A557" t="s">
        <v>1793</v>
      </c>
      <c r="B557" t="s">
        <v>1950</v>
      </c>
      <c r="C557" t="s">
        <v>1959</v>
      </c>
      <c r="D557">
        <v>258</v>
      </c>
      <c r="E557" t="s">
        <v>1447</v>
      </c>
      <c r="F557" t="s">
        <v>1960</v>
      </c>
      <c r="G557" t="s">
        <v>1737</v>
      </c>
      <c r="H557" t="s">
        <v>1799</v>
      </c>
      <c r="I557" t="s">
        <v>1799</v>
      </c>
      <c r="J557" t="s">
        <v>1799</v>
      </c>
      <c r="K557" t="s">
        <v>1799</v>
      </c>
      <c r="L557" t="s">
        <v>1483</v>
      </c>
      <c r="M557" t="s">
        <v>1799</v>
      </c>
      <c r="N557" t="s">
        <v>1799</v>
      </c>
      <c r="O557" s="184" t="str">
        <f>"["&amp;$C557&amp;"]["&amp;$D557&amp;"]["&amp;$F557&amp;"]"</f>
        <v>[S05_DefaultValues][258][InstallationCategory]</v>
      </c>
    </row>
    <row r="558" spans="1:15" x14ac:dyDescent="0.3">
      <c r="A558" t="s">
        <v>1793</v>
      </c>
      <c r="B558" t="s">
        <v>1950</v>
      </c>
      <c r="C558" t="s">
        <v>1959</v>
      </c>
      <c r="D558">
        <v>259</v>
      </c>
      <c r="E558" t="s">
        <v>1447</v>
      </c>
      <c r="F558" t="s">
        <v>1960</v>
      </c>
      <c r="G558" t="s">
        <v>1737</v>
      </c>
      <c r="H558" t="s">
        <v>1799</v>
      </c>
      <c r="I558" t="s">
        <v>1799</v>
      </c>
      <c r="J558" t="s">
        <v>1799</v>
      </c>
      <c r="K558" t="s">
        <v>1799</v>
      </c>
      <c r="L558" t="s">
        <v>1483</v>
      </c>
      <c r="M558" t="s">
        <v>1799</v>
      </c>
      <c r="N558" t="s">
        <v>1799</v>
      </c>
      <c r="O558" s="184" t="str">
        <f>"["&amp;$C558&amp;"]["&amp;$D558&amp;"]["&amp;$F558&amp;"]"</f>
        <v>[S05_DefaultValues][259][InstallationCategory]</v>
      </c>
    </row>
    <row r="559" spans="1:15" x14ac:dyDescent="0.3">
      <c r="A559" t="s">
        <v>1793</v>
      </c>
      <c r="B559" t="s">
        <v>1950</v>
      </c>
      <c r="C559" t="s">
        <v>1959</v>
      </c>
      <c r="D559">
        <v>260</v>
      </c>
      <c r="E559" t="s">
        <v>1447</v>
      </c>
      <c r="F559" t="s">
        <v>1960</v>
      </c>
      <c r="G559" t="s">
        <v>1737</v>
      </c>
      <c r="H559" t="s">
        <v>1799</v>
      </c>
      <c r="I559" t="s">
        <v>1799</v>
      </c>
      <c r="J559" t="s">
        <v>1799</v>
      </c>
      <c r="K559" t="s">
        <v>1799</v>
      </c>
      <c r="L559" t="s">
        <v>1483</v>
      </c>
      <c r="M559" t="s">
        <v>1799</v>
      </c>
      <c r="N559" t="s">
        <v>1799</v>
      </c>
      <c r="O559" s="184" t="str">
        <f>"["&amp;$C559&amp;"]["&amp;$D559&amp;"]["&amp;$F559&amp;"]"</f>
        <v>[S05_DefaultValues][260][InstallationCategory]</v>
      </c>
    </row>
    <row r="560" spans="1:15" x14ac:dyDescent="0.3">
      <c r="A560" t="s">
        <v>1793</v>
      </c>
      <c r="B560" t="s">
        <v>1950</v>
      </c>
      <c r="C560" t="s">
        <v>1959</v>
      </c>
      <c r="D560">
        <v>261</v>
      </c>
      <c r="E560" t="s">
        <v>1447</v>
      </c>
      <c r="F560" t="s">
        <v>1960</v>
      </c>
      <c r="G560" t="s">
        <v>1737</v>
      </c>
      <c r="H560" t="s">
        <v>1799</v>
      </c>
      <c r="I560" t="s">
        <v>1799</v>
      </c>
      <c r="J560" t="s">
        <v>1799</v>
      </c>
      <c r="K560" t="s">
        <v>1799</v>
      </c>
      <c r="L560" t="s">
        <v>1483</v>
      </c>
      <c r="M560" t="s">
        <v>1799</v>
      </c>
      <c r="N560" t="s">
        <v>1799</v>
      </c>
      <c r="O560" s="184" t="str">
        <f>"["&amp;$C560&amp;"]["&amp;$D560&amp;"]["&amp;$F560&amp;"]"</f>
        <v>[S05_DefaultValues][261][InstallationCategory]</v>
      </c>
    </row>
    <row r="561" spans="1:15" x14ac:dyDescent="0.3">
      <c r="A561" t="s">
        <v>1793</v>
      </c>
      <c r="B561" t="s">
        <v>1950</v>
      </c>
      <c r="C561" t="s">
        <v>1959</v>
      </c>
      <c r="D561">
        <v>262</v>
      </c>
      <c r="E561" t="s">
        <v>1447</v>
      </c>
      <c r="F561" t="s">
        <v>1960</v>
      </c>
      <c r="G561" t="s">
        <v>1737</v>
      </c>
      <c r="H561" t="s">
        <v>1799</v>
      </c>
      <c r="I561" t="s">
        <v>1799</v>
      </c>
      <c r="J561" t="s">
        <v>1799</v>
      </c>
      <c r="K561" t="s">
        <v>1799</v>
      </c>
      <c r="L561" t="s">
        <v>1483</v>
      </c>
      <c r="M561" t="s">
        <v>1799</v>
      </c>
      <c r="N561" t="s">
        <v>1799</v>
      </c>
      <c r="O561" s="184" t="str">
        <f>"["&amp;$C561&amp;"]["&amp;$D561&amp;"]["&amp;$F561&amp;"]"</f>
        <v>[S05_DefaultValues][262][InstallationCategory]</v>
      </c>
    </row>
    <row r="562" spans="1:15" x14ac:dyDescent="0.3">
      <c r="A562" t="s">
        <v>1793</v>
      </c>
      <c r="B562" t="s">
        <v>1950</v>
      </c>
      <c r="C562" t="s">
        <v>1959</v>
      </c>
      <c r="D562">
        <v>263</v>
      </c>
      <c r="E562" t="s">
        <v>1447</v>
      </c>
      <c r="F562" t="s">
        <v>1960</v>
      </c>
      <c r="G562" t="s">
        <v>1737</v>
      </c>
      <c r="H562" t="s">
        <v>1799</v>
      </c>
      <c r="I562" t="s">
        <v>1799</v>
      </c>
      <c r="J562" t="s">
        <v>1799</v>
      </c>
      <c r="K562" t="s">
        <v>1799</v>
      </c>
      <c r="L562" t="s">
        <v>1483</v>
      </c>
      <c r="M562" t="s">
        <v>1799</v>
      </c>
      <c r="N562" t="s">
        <v>1799</v>
      </c>
      <c r="O562" s="184" t="str">
        <f>"["&amp;$C562&amp;"]["&amp;$D562&amp;"]["&amp;$F562&amp;"]"</f>
        <v>[S05_DefaultValues][263][InstallationCategory]</v>
      </c>
    </row>
    <row r="563" spans="1:15" x14ac:dyDescent="0.3">
      <c r="A563" t="s">
        <v>1793</v>
      </c>
      <c r="B563" t="s">
        <v>1950</v>
      </c>
      <c r="C563" t="s">
        <v>1959</v>
      </c>
      <c r="D563">
        <v>264</v>
      </c>
      <c r="E563" t="s">
        <v>1447</v>
      </c>
      <c r="F563" t="s">
        <v>1960</v>
      </c>
      <c r="G563" t="s">
        <v>1737</v>
      </c>
      <c r="H563" t="s">
        <v>1799</v>
      </c>
      <c r="I563" t="s">
        <v>1799</v>
      </c>
      <c r="J563" t="s">
        <v>1799</v>
      </c>
      <c r="K563" t="s">
        <v>1799</v>
      </c>
      <c r="L563" t="s">
        <v>1483</v>
      </c>
      <c r="M563" t="s">
        <v>1799</v>
      </c>
      <c r="N563" t="s">
        <v>1799</v>
      </c>
      <c r="O563" s="184" t="str">
        <f>"["&amp;$C563&amp;"]["&amp;$D563&amp;"]["&amp;$F563&amp;"]"</f>
        <v>[S05_DefaultValues][264][InstallationCategory]</v>
      </c>
    </row>
    <row r="564" spans="1:15" x14ac:dyDescent="0.3">
      <c r="A564" t="s">
        <v>1793</v>
      </c>
      <c r="B564" t="s">
        <v>1950</v>
      </c>
      <c r="C564" t="s">
        <v>1959</v>
      </c>
      <c r="D564">
        <v>265</v>
      </c>
      <c r="E564" t="s">
        <v>1447</v>
      </c>
      <c r="F564" t="s">
        <v>1960</v>
      </c>
      <c r="G564" t="s">
        <v>1737</v>
      </c>
      <c r="H564" t="s">
        <v>1799</v>
      </c>
      <c r="I564" t="s">
        <v>1799</v>
      </c>
      <c r="J564" t="s">
        <v>1799</v>
      </c>
      <c r="K564" t="s">
        <v>1799</v>
      </c>
      <c r="L564" t="s">
        <v>1483</v>
      </c>
      <c r="M564" t="s">
        <v>1799</v>
      </c>
      <c r="N564" t="s">
        <v>1799</v>
      </c>
      <c r="O564" s="184" t="str">
        <f>"["&amp;$C564&amp;"]["&amp;$D564&amp;"]["&amp;$F564&amp;"]"</f>
        <v>[S05_DefaultValues][265][InstallationCategory]</v>
      </c>
    </row>
    <row r="565" spans="1:15" x14ac:dyDescent="0.3">
      <c r="A565" t="s">
        <v>1793</v>
      </c>
      <c r="B565" t="s">
        <v>1950</v>
      </c>
      <c r="C565" t="s">
        <v>1959</v>
      </c>
      <c r="D565">
        <v>266</v>
      </c>
      <c r="E565" t="s">
        <v>1447</v>
      </c>
      <c r="F565" t="s">
        <v>1960</v>
      </c>
      <c r="G565" t="s">
        <v>1737</v>
      </c>
      <c r="H565" t="s">
        <v>1799</v>
      </c>
      <c r="I565" t="s">
        <v>1799</v>
      </c>
      <c r="J565" t="s">
        <v>1799</v>
      </c>
      <c r="K565" t="s">
        <v>1799</v>
      </c>
      <c r="L565" t="s">
        <v>1483</v>
      </c>
      <c r="M565" t="s">
        <v>1799</v>
      </c>
      <c r="N565" t="s">
        <v>1799</v>
      </c>
      <c r="O565" s="184" t="str">
        <f>"["&amp;$C565&amp;"]["&amp;$D565&amp;"]["&amp;$F565&amp;"]"</f>
        <v>[S05_DefaultValues][266][InstallationCategory]</v>
      </c>
    </row>
    <row r="566" spans="1:15" x14ac:dyDescent="0.3">
      <c r="A566" t="s">
        <v>1793</v>
      </c>
      <c r="B566" t="s">
        <v>1950</v>
      </c>
      <c r="C566" t="s">
        <v>1959</v>
      </c>
      <c r="D566">
        <v>267</v>
      </c>
      <c r="E566" t="s">
        <v>1447</v>
      </c>
      <c r="F566" t="s">
        <v>1960</v>
      </c>
      <c r="G566" t="s">
        <v>1737</v>
      </c>
      <c r="H566" t="s">
        <v>1799</v>
      </c>
      <c r="I566" t="s">
        <v>1799</v>
      </c>
      <c r="J566" t="s">
        <v>1799</v>
      </c>
      <c r="K566" t="s">
        <v>1799</v>
      </c>
      <c r="L566" t="s">
        <v>1483</v>
      </c>
      <c r="M566" t="s">
        <v>1799</v>
      </c>
      <c r="N566" t="s">
        <v>1799</v>
      </c>
      <c r="O566" s="184" t="str">
        <f>"["&amp;$C566&amp;"]["&amp;$D566&amp;"]["&amp;$F566&amp;"]"</f>
        <v>[S05_DefaultValues][267][InstallationCategory]</v>
      </c>
    </row>
    <row r="567" spans="1:15" x14ac:dyDescent="0.3">
      <c r="A567" t="s">
        <v>1793</v>
      </c>
      <c r="B567" t="s">
        <v>1950</v>
      </c>
      <c r="C567" t="s">
        <v>1959</v>
      </c>
      <c r="D567">
        <v>268</v>
      </c>
      <c r="E567" t="s">
        <v>1447</v>
      </c>
      <c r="F567" t="s">
        <v>1960</v>
      </c>
      <c r="G567" t="s">
        <v>1737</v>
      </c>
      <c r="H567" t="s">
        <v>1799</v>
      </c>
      <c r="I567" t="s">
        <v>1799</v>
      </c>
      <c r="J567" t="s">
        <v>1799</v>
      </c>
      <c r="K567" t="s">
        <v>1799</v>
      </c>
      <c r="L567" t="s">
        <v>1483</v>
      </c>
      <c r="M567" t="s">
        <v>1799</v>
      </c>
      <c r="N567" t="s">
        <v>1799</v>
      </c>
      <c r="O567" s="184" t="str">
        <f>"["&amp;$C567&amp;"]["&amp;$D567&amp;"]["&amp;$F567&amp;"]"</f>
        <v>[S05_DefaultValues][268][InstallationCategory]</v>
      </c>
    </row>
    <row r="568" spans="1:15" x14ac:dyDescent="0.3">
      <c r="A568" t="s">
        <v>1793</v>
      </c>
      <c r="B568" t="s">
        <v>1950</v>
      </c>
      <c r="C568" t="s">
        <v>1959</v>
      </c>
      <c r="D568">
        <v>269</v>
      </c>
      <c r="E568" t="s">
        <v>1447</v>
      </c>
      <c r="F568" t="s">
        <v>1960</v>
      </c>
      <c r="G568" t="s">
        <v>1737</v>
      </c>
      <c r="H568" t="s">
        <v>1799</v>
      </c>
      <c r="I568" t="s">
        <v>1799</v>
      </c>
      <c r="J568" t="s">
        <v>1799</v>
      </c>
      <c r="K568" t="s">
        <v>1799</v>
      </c>
      <c r="L568" t="s">
        <v>1483</v>
      </c>
      <c r="M568" t="s">
        <v>1799</v>
      </c>
      <c r="N568" t="s">
        <v>1799</v>
      </c>
      <c r="O568" s="184" t="str">
        <f>"["&amp;$C568&amp;"]["&amp;$D568&amp;"]["&amp;$F568&amp;"]"</f>
        <v>[S05_DefaultValues][269][InstallationCategory]</v>
      </c>
    </row>
    <row r="569" spans="1:15" x14ac:dyDescent="0.3">
      <c r="A569" t="s">
        <v>1793</v>
      </c>
      <c r="B569" t="s">
        <v>1950</v>
      </c>
      <c r="C569" t="s">
        <v>1959</v>
      </c>
      <c r="D569">
        <v>270</v>
      </c>
      <c r="E569" t="s">
        <v>1447</v>
      </c>
      <c r="F569" t="s">
        <v>1960</v>
      </c>
      <c r="G569" t="s">
        <v>1737</v>
      </c>
      <c r="H569" t="s">
        <v>1799</v>
      </c>
      <c r="I569" t="s">
        <v>1799</v>
      </c>
      <c r="J569" t="s">
        <v>1799</v>
      </c>
      <c r="K569" t="s">
        <v>1799</v>
      </c>
      <c r="L569" t="s">
        <v>1483</v>
      </c>
      <c r="M569" t="s">
        <v>1799</v>
      </c>
      <c r="N569" t="s">
        <v>1799</v>
      </c>
      <c r="O569" s="184" t="str">
        <f>"["&amp;$C569&amp;"]["&amp;$D569&amp;"]["&amp;$F569&amp;"]"</f>
        <v>[S05_DefaultValues][270][InstallationCategory]</v>
      </c>
    </row>
    <row r="570" spans="1:15" x14ac:dyDescent="0.3">
      <c r="A570" t="s">
        <v>1793</v>
      </c>
      <c r="B570" t="s">
        <v>1950</v>
      </c>
      <c r="C570" t="s">
        <v>1959</v>
      </c>
      <c r="D570">
        <v>271</v>
      </c>
      <c r="E570" t="s">
        <v>1447</v>
      </c>
      <c r="F570" t="s">
        <v>1960</v>
      </c>
      <c r="G570" t="s">
        <v>1737</v>
      </c>
      <c r="H570" t="s">
        <v>1799</v>
      </c>
      <c r="I570" t="s">
        <v>1799</v>
      </c>
      <c r="J570" t="s">
        <v>1799</v>
      </c>
      <c r="K570" t="s">
        <v>1799</v>
      </c>
      <c r="L570" t="s">
        <v>1483</v>
      </c>
      <c r="M570" t="s">
        <v>1799</v>
      </c>
      <c r="N570" t="s">
        <v>1799</v>
      </c>
      <c r="O570" s="184" t="str">
        <f>"["&amp;$C570&amp;"]["&amp;$D570&amp;"]["&amp;$F570&amp;"]"</f>
        <v>[S05_DefaultValues][271][InstallationCategory]</v>
      </c>
    </row>
    <row r="571" spans="1:15" x14ac:dyDescent="0.3">
      <c r="A571" t="s">
        <v>1793</v>
      </c>
      <c r="B571" t="s">
        <v>1950</v>
      </c>
      <c r="C571" t="s">
        <v>1959</v>
      </c>
      <c r="D571">
        <v>272</v>
      </c>
      <c r="E571" t="s">
        <v>1447</v>
      </c>
      <c r="F571" t="s">
        <v>1960</v>
      </c>
      <c r="G571" t="s">
        <v>1737</v>
      </c>
      <c r="H571" t="s">
        <v>1799</v>
      </c>
      <c r="I571" t="s">
        <v>1799</v>
      </c>
      <c r="J571" t="s">
        <v>1799</v>
      </c>
      <c r="K571" t="s">
        <v>1799</v>
      </c>
      <c r="L571" t="s">
        <v>1483</v>
      </c>
      <c r="M571" t="s">
        <v>1799</v>
      </c>
      <c r="N571" t="s">
        <v>1799</v>
      </c>
      <c r="O571" s="184" t="str">
        <f>"["&amp;$C571&amp;"]["&amp;$D571&amp;"]["&amp;$F571&amp;"]"</f>
        <v>[S05_DefaultValues][272][InstallationCategory]</v>
      </c>
    </row>
    <row r="572" spans="1:15" x14ac:dyDescent="0.3">
      <c r="A572" t="s">
        <v>1793</v>
      </c>
      <c r="B572" t="s">
        <v>1950</v>
      </c>
      <c r="C572" t="s">
        <v>1959</v>
      </c>
      <c r="D572">
        <v>273</v>
      </c>
      <c r="E572" t="s">
        <v>1447</v>
      </c>
      <c r="F572" t="s">
        <v>1960</v>
      </c>
      <c r="G572" t="s">
        <v>1737</v>
      </c>
      <c r="H572" t="s">
        <v>1799</v>
      </c>
      <c r="I572" t="s">
        <v>1799</v>
      </c>
      <c r="J572" t="s">
        <v>1799</v>
      </c>
      <c r="K572" t="s">
        <v>1799</v>
      </c>
      <c r="L572" t="s">
        <v>1483</v>
      </c>
      <c r="M572" t="s">
        <v>1799</v>
      </c>
      <c r="N572" t="s">
        <v>1799</v>
      </c>
      <c r="O572" s="184" t="str">
        <f>"["&amp;$C572&amp;"]["&amp;$D572&amp;"]["&amp;$F572&amp;"]"</f>
        <v>[S05_DefaultValues][273][InstallationCategory]</v>
      </c>
    </row>
    <row r="573" spans="1:15" x14ac:dyDescent="0.3">
      <c r="A573" t="s">
        <v>1793</v>
      </c>
      <c r="B573" t="s">
        <v>1950</v>
      </c>
      <c r="C573" t="s">
        <v>1959</v>
      </c>
      <c r="D573">
        <v>274</v>
      </c>
      <c r="E573" t="s">
        <v>1447</v>
      </c>
      <c r="F573" t="s">
        <v>1960</v>
      </c>
      <c r="G573" t="s">
        <v>1737</v>
      </c>
      <c r="H573" t="s">
        <v>1799</v>
      </c>
      <c r="I573" t="s">
        <v>1799</v>
      </c>
      <c r="J573" t="s">
        <v>1799</v>
      </c>
      <c r="K573" t="s">
        <v>1799</v>
      </c>
      <c r="L573" t="s">
        <v>1483</v>
      </c>
      <c r="M573" t="s">
        <v>1799</v>
      </c>
      <c r="N573" t="s">
        <v>1799</v>
      </c>
      <c r="O573" s="184" t="str">
        <f>"["&amp;$C573&amp;"]["&amp;$D573&amp;"]["&amp;$F573&amp;"]"</f>
        <v>[S05_DefaultValues][274][InstallationCategory]</v>
      </c>
    </row>
    <row r="574" spans="1:15" x14ac:dyDescent="0.3">
      <c r="A574" t="s">
        <v>1793</v>
      </c>
      <c r="B574" t="s">
        <v>1950</v>
      </c>
      <c r="C574" t="s">
        <v>1959</v>
      </c>
      <c r="D574">
        <v>275</v>
      </c>
      <c r="E574" t="s">
        <v>1447</v>
      </c>
      <c r="F574" t="s">
        <v>1960</v>
      </c>
      <c r="G574" t="s">
        <v>1737</v>
      </c>
      <c r="H574" t="s">
        <v>1799</v>
      </c>
      <c r="I574" t="s">
        <v>1799</v>
      </c>
      <c r="J574" t="s">
        <v>1799</v>
      </c>
      <c r="K574" t="s">
        <v>1799</v>
      </c>
      <c r="L574" t="s">
        <v>1483</v>
      </c>
      <c r="M574" t="s">
        <v>1799</v>
      </c>
      <c r="N574" t="s">
        <v>1799</v>
      </c>
      <c r="O574" s="184" t="str">
        <f>"["&amp;$C574&amp;"]["&amp;$D574&amp;"]["&amp;$F574&amp;"]"</f>
        <v>[S05_DefaultValues][275][InstallationCategory]</v>
      </c>
    </row>
    <row r="575" spans="1:15" x14ac:dyDescent="0.3">
      <c r="A575" t="s">
        <v>1793</v>
      </c>
      <c r="B575" t="s">
        <v>1950</v>
      </c>
      <c r="C575" t="s">
        <v>1959</v>
      </c>
      <c r="D575">
        <v>276</v>
      </c>
      <c r="E575" t="s">
        <v>1447</v>
      </c>
      <c r="F575" t="s">
        <v>1960</v>
      </c>
      <c r="G575" t="s">
        <v>1737</v>
      </c>
      <c r="H575" t="s">
        <v>1799</v>
      </c>
      <c r="I575" t="s">
        <v>1799</v>
      </c>
      <c r="J575" t="s">
        <v>1799</v>
      </c>
      <c r="K575" t="s">
        <v>1799</v>
      </c>
      <c r="L575" t="s">
        <v>1483</v>
      </c>
      <c r="M575" t="s">
        <v>1799</v>
      </c>
      <c r="N575" t="s">
        <v>1799</v>
      </c>
      <c r="O575" s="184" t="str">
        <f>"["&amp;$C575&amp;"]["&amp;$D575&amp;"]["&amp;$F575&amp;"]"</f>
        <v>[S05_DefaultValues][276][InstallationCategory]</v>
      </c>
    </row>
    <row r="576" spans="1:15" x14ac:dyDescent="0.3">
      <c r="A576" t="s">
        <v>1793</v>
      </c>
      <c r="B576" t="s">
        <v>1950</v>
      </c>
      <c r="C576" t="s">
        <v>1959</v>
      </c>
      <c r="D576">
        <v>277</v>
      </c>
      <c r="E576" t="s">
        <v>1447</v>
      </c>
      <c r="F576" t="s">
        <v>1960</v>
      </c>
      <c r="G576" t="s">
        <v>1737</v>
      </c>
      <c r="H576" t="s">
        <v>1799</v>
      </c>
      <c r="I576" t="s">
        <v>1799</v>
      </c>
      <c r="J576" t="s">
        <v>1799</v>
      </c>
      <c r="K576" t="s">
        <v>1799</v>
      </c>
      <c r="L576" t="s">
        <v>1483</v>
      </c>
      <c r="M576" t="s">
        <v>1799</v>
      </c>
      <c r="N576" t="s">
        <v>1799</v>
      </c>
      <c r="O576" s="184" t="str">
        <f>"["&amp;$C576&amp;"]["&amp;$D576&amp;"]["&amp;$F576&amp;"]"</f>
        <v>[S05_DefaultValues][277][InstallationCategory]</v>
      </c>
    </row>
    <row r="577" spans="1:15" x14ac:dyDescent="0.3">
      <c r="A577" t="s">
        <v>1793</v>
      </c>
      <c r="B577" t="s">
        <v>1950</v>
      </c>
      <c r="C577" t="s">
        <v>1959</v>
      </c>
      <c r="D577">
        <v>278</v>
      </c>
      <c r="E577" t="s">
        <v>1447</v>
      </c>
      <c r="F577" t="s">
        <v>1960</v>
      </c>
      <c r="G577" t="s">
        <v>1737</v>
      </c>
      <c r="H577" t="s">
        <v>1799</v>
      </c>
      <c r="I577" t="s">
        <v>1799</v>
      </c>
      <c r="J577" t="s">
        <v>1799</v>
      </c>
      <c r="K577" t="s">
        <v>1799</v>
      </c>
      <c r="L577" t="s">
        <v>1483</v>
      </c>
      <c r="M577" t="s">
        <v>1799</v>
      </c>
      <c r="N577" t="s">
        <v>1799</v>
      </c>
      <c r="O577" s="184" t="str">
        <f>"["&amp;$C577&amp;"]["&amp;$D577&amp;"]["&amp;$F577&amp;"]"</f>
        <v>[S05_DefaultValues][278][InstallationCategory]</v>
      </c>
    </row>
    <row r="578" spans="1:15" x14ac:dyDescent="0.3">
      <c r="A578" t="s">
        <v>1793</v>
      </c>
      <c r="B578" t="s">
        <v>1950</v>
      </c>
      <c r="C578" t="s">
        <v>1959</v>
      </c>
      <c r="D578">
        <v>279</v>
      </c>
      <c r="E578" t="s">
        <v>1447</v>
      </c>
      <c r="F578" t="s">
        <v>1960</v>
      </c>
      <c r="G578" t="s">
        <v>1737</v>
      </c>
      <c r="H578" t="s">
        <v>1799</v>
      </c>
      <c r="I578" t="s">
        <v>1799</v>
      </c>
      <c r="J578" t="s">
        <v>1799</v>
      </c>
      <c r="K578" t="s">
        <v>1799</v>
      </c>
      <c r="L578" t="s">
        <v>1483</v>
      </c>
      <c r="M578" t="s">
        <v>1799</v>
      </c>
      <c r="N578" t="s">
        <v>1799</v>
      </c>
      <c r="O578" s="184" t="str">
        <f>"["&amp;$C578&amp;"]["&amp;$D578&amp;"]["&amp;$F578&amp;"]"</f>
        <v>[S05_DefaultValues][279][InstallationCategory]</v>
      </c>
    </row>
    <row r="579" spans="1:15" x14ac:dyDescent="0.3">
      <c r="A579" t="s">
        <v>1793</v>
      </c>
      <c r="B579" t="s">
        <v>1950</v>
      </c>
      <c r="C579" t="s">
        <v>1959</v>
      </c>
      <c r="D579">
        <v>280</v>
      </c>
      <c r="E579" t="s">
        <v>1447</v>
      </c>
      <c r="F579" t="s">
        <v>1960</v>
      </c>
      <c r="G579" t="s">
        <v>1737</v>
      </c>
      <c r="H579" t="s">
        <v>1799</v>
      </c>
      <c r="I579" t="s">
        <v>1799</v>
      </c>
      <c r="J579" t="s">
        <v>1799</v>
      </c>
      <c r="K579" t="s">
        <v>1799</v>
      </c>
      <c r="L579" t="s">
        <v>1483</v>
      </c>
      <c r="M579" t="s">
        <v>1799</v>
      </c>
      <c r="N579" t="s">
        <v>1799</v>
      </c>
      <c r="O579" s="184" t="str">
        <f>"["&amp;$C579&amp;"]["&amp;$D579&amp;"]["&amp;$F579&amp;"]"</f>
        <v>[S05_DefaultValues][280][InstallationCategory]</v>
      </c>
    </row>
    <row r="580" spans="1:15" x14ac:dyDescent="0.3">
      <c r="A580" t="s">
        <v>1793</v>
      </c>
      <c r="B580" t="s">
        <v>1950</v>
      </c>
      <c r="C580" t="s">
        <v>1959</v>
      </c>
      <c r="D580">
        <v>281</v>
      </c>
      <c r="E580" t="s">
        <v>1447</v>
      </c>
      <c r="F580" t="s">
        <v>1960</v>
      </c>
      <c r="G580" t="s">
        <v>1737</v>
      </c>
      <c r="H580" t="s">
        <v>1799</v>
      </c>
      <c r="I580" t="s">
        <v>1799</v>
      </c>
      <c r="J580" t="s">
        <v>1799</v>
      </c>
      <c r="K580" t="s">
        <v>1799</v>
      </c>
      <c r="L580" t="s">
        <v>1483</v>
      </c>
      <c r="M580" t="s">
        <v>1799</v>
      </c>
      <c r="N580" t="s">
        <v>1799</v>
      </c>
      <c r="O580" s="184" t="str">
        <f>"["&amp;$C580&amp;"]["&amp;$D580&amp;"]["&amp;$F580&amp;"]"</f>
        <v>[S05_DefaultValues][281][InstallationCategory]</v>
      </c>
    </row>
    <row r="581" spans="1:15" x14ac:dyDescent="0.3">
      <c r="A581" t="s">
        <v>1793</v>
      </c>
      <c r="B581" t="s">
        <v>1950</v>
      </c>
      <c r="C581" t="s">
        <v>1959</v>
      </c>
      <c r="D581">
        <v>282</v>
      </c>
      <c r="E581" t="s">
        <v>1447</v>
      </c>
      <c r="F581" t="s">
        <v>1960</v>
      </c>
      <c r="G581" t="s">
        <v>1737</v>
      </c>
      <c r="H581" t="s">
        <v>1799</v>
      </c>
      <c r="I581" t="s">
        <v>1799</v>
      </c>
      <c r="J581" t="s">
        <v>1799</v>
      </c>
      <c r="K581" t="s">
        <v>1799</v>
      </c>
      <c r="L581" t="s">
        <v>1483</v>
      </c>
      <c r="M581" t="s">
        <v>1799</v>
      </c>
      <c r="N581" t="s">
        <v>1799</v>
      </c>
      <c r="O581" s="184" t="str">
        <f>"["&amp;$C581&amp;"]["&amp;$D581&amp;"]["&amp;$F581&amp;"]"</f>
        <v>[S05_DefaultValues][282][InstallationCategory]</v>
      </c>
    </row>
    <row r="582" spans="1:15" x14ac:dyDescent="0.3">
      <c r="A582" t="s">
        <v>1793</v>
      </c>
      <c r="B582" t="s">
        <v>1950</v>
      </c>
      <c r="C582" t="s">
        <v>1959</v>
      </c>
      <c r="D582">
        <v>283</v>
      </c>
      <c r="E582" t="s">
        <v>1447</v>
      </c>
      <c r="F582" t="s">
        <v>1960</v>
      </c>
      <c r="G582" t="s">
        <v>1737</v>
      </c>
      <c r="H582" t="s">
        <v>1799</v>
      </c>
      <c r="I582" t="s">
        <v>1799</v>
      </c>
      <c r="J582" t="s">
        <v>1799</v>
      </c>
      <c r="K582" t="s">
        <v>1799</v>
      </c>
      <c r="L582" t="s">
        <v>1483</v>
      </c>
      <c r="M582" t="s">
        <v>1799</v>
      </c>
      <c r="N582" t="s">
        <v>1799</v>
      </c>
      <c r="O582" s="184" t="str">
        <f>"["&amp;$C582&amp;"]["&amp;$D582&amp;"]["&amp;$F582&amp;"]"</f>
        <v>[S05_DefaultValues][283][InstallationCategory]</v>
      </c>
    </row>
    <row r="583" spans="1:15" x14ac:dyDescent="0.3">
      <c r="A583" t="s">
        <v>1793</v>
      </c>
      <c r="B583" t="s">
        <v>1950</v>
      </c>
      <c r="C583" t="s">
        <v>1959</v>
      </c>
      <c r="D583">
        <v>284</v>
      </c>
      <c r="E583" t="s">
        <v>1447</v>
      </c>
      <c r="F583" t="s">
        <v>1960</v>
      </c>
      <c r="G583" t="s">
        <v>1737</v>
      </c>
      <c r="H583" t="s">
        <v>1799</v>
      </c>
      <c r="I583" t="s">
        <v>1799</v>
      </c>
      <c r="J583" t="s">
        <v>1799</v>
      </c>
      <c r="K583" t="s">
        <v>1799</v>
      </c>
      <c r="L583" t="s">
        <v>1483</v>
      </c>
      <c r="M583" t="s">
        <v>1799</v>
      </c>
      <c r="N583" t="s">
        <v>1799</v>
      </c>
      <c r="O583" s="184" t="str">
        <f>"["&amp;$C583&amp;"]["&amp;$D583&amp;"]["&amp;$F583&amp;"]"</f>
        <v>[S05_DefaultValues][284][InstallationCategory]</v>
      </c>
    </row>
    <row r="584" spans="1:15" x14ac:dyDescent="0.3">
      <c r="A584" t="s">
        <v>1793</v>
      </c>
      <c r="B584" t="s">
        <v>1950</v>
      </c>
      <c r="C584" t="s">
        <v>1959</v>
      </c>
      <c r="D584">
        <v>285</v>
      </c>
      <c r="E584" t="s">
        <v>1447</v>
      </c>
      <c r="F584" t="s">
        <v>1960</v>
      </c>
      <c r="G584" t="s">
        <v>1737</v>
      </c>
      <c r="H584" t="s">
        <v>1799</v>
      </c>
      <c r="I584" t="s">
        <v>1799</v>
      </c>
      <c r="J584" t="s">
        <v>1799</v>
      </c>
      <c r="K584" t="s">
        <v>1799</v>
      </c>
      <c r="L584" t="s">
        <v>1483</v>
      </c>
      <c r="M584" t="s">
        <v>1799</v>
      </c>
      <c r="N584" t="s">
        <v>1799</v>
      </c>
      <c r="O584" s="184" t="str">
        <f>"["&amp;$C584&amp;"]["&amp;$D584&amp;"]["&amp;$F584&amp;"]"</f>
        <v>[S05_DefaultValues][285][InstallationCategory]</v>
      </c>
    </row>
    <row r="585" spans="1:15" x14ac:dyDescent="0.3">
      <c r="A585" t="s">
        <v>1793</v>
      </c>
      <c r="B585" t="s">
        <v>1950</v>
      </c>
      <c r="C585" t="s">
        <v>1959</v>
      </c>
      <c r="D585">
        <v>286</v>
      </c>
      <c r="E585" t="s">
        <v>1447</v>
      </c>
      <c r="F585" t="s">
        <v>1960</v>
      </c>
      <c r="G585" t="s">
        <v>1737</v>
      </c>
      <c r="H585" t="s">
        <v>1799</v>
      </c>
      <c r="I585" t="s">
        <v>1799</v>
      </c>
      <c r="J585" t="s">
        <v>1799</v>
      </c>
      <c r="K585" t="s">
        <v>1799</v>
      </c>
      <c r="L585" t="s">
        <v>1483</v>
      </c>
      <c r="M585" t="s">
        <v>1799</v>
      </c>
      <c r="N585" t="s">
        <v>1799</v>
      </c>
      <c r="O585" s="184" t="str">
        <f>"["&amp;$C585&amp;"]["&amp;$D585&amp;"]["&amp;$F585&amp;"]"</f>
        <v>[S05_DefaultValues][286][InstallationCategory]</v>
      </c>
    </row>
    <row r="586" spans="1:15" x14ac:dyDescent="0.3">
      <c r="A586" t="s">
        <v>1793</v>
      </c>
      <c r="B586" t="s">
        <v>1950</v>
      </c>
      <c r="C586" t="s">
        <v>1959</v>
      </c>
      <c r="D586">
        <v>287</v>
      </c>
      <c r="E586" t="s">
        <v>1447</v>
      </c>
      <c r="F586" t="s">
        <v>1960</v>
      </c>
      <c r="G586" t="s">
        <v>1737</v>
      </c>
      <c r="H586" t="s">
        <v>1799</v>
      </c>
      <c r="I586" t="s">
        <v>1799</v>
      </c>
      <c r="J586" t="s">
        <v>1799</v>
      </c>
      <c r="K586" t="s">
        <v>1799</v>
      </c>
      <c r="L586" t="s">
        <v>1483</v>
      </c>
      <c r="M586" t="s">
        <v>1799</v>
      </c>
      <c r="N586" t="s">
        <v>1799</v>
      </c>
      <c r="O586" s="184" t="str">
        <f>"["&amp;$C586&amp;"]["&amp;$D586&amp;"]["&amp;$F586&amp;"]"</f>
        <v>[S05_DefaultValues][287][InstallationCategory]</v>
      </c>
    </row>
    <row r="587" spans="1:15" x14ac:dyDescent="0.3">
      <c r="A587" t="s">
        <v>1793</v>
      </c>
      <c r="B587" t="s">
        <v>1950</v>
      </c>
      <c r="C587" t="s">
        <v>1959</v>
      </c>
      <c r="D587">
        <v>288</v>
      </c>
      <c r="E587" t="s">
        <v>1447</v>
      </c>
      <c r="F587" t="s">
        <v>1960</v>
      </c>
      <c r="G587" t="s">
        <v>1737</v>
      </c>
      <c r="H587" t="s">
        <v>1799</v>
      </c>
      <c r="I587" t="s">
        <v>1799</v>
      </c>
      <c r="J587" t="s">
        <v>1799</v>
      </c>
      <c r="K587" t="s">
        <v>1799</v>
      </c>
      <c r="L587" t="s">
        <v>1483</v>
      </c>
      <c r="M587" t="s">
        <v>1799</v>
      </c>
      <c r="N587" t="s">
        <v>1799</v>
      </c>
      <c r="O587" s="184" t="str">
        <f>"["&amp;$C587&amp;"]["&amp;$D587&amp;"]["&amp;$F587&amp;"]"</f>
        <v>[S05_DefaultValues][288][InstallationCategory]</v>
      </c>
    </row>
    <row r="588" spans="1:15" x14ac:dyDescent="0.3">
      <c r="A588" t="s">
        <v>1793</v>
      </c>
      <c r="B588" t="s">
        <v>1950</v>
      </c>
      <c r="C588" t="s">
        <v>1959</v>
      </c>
      <c r="D588">
        <v>289</v>
      </c>
      <c r="E588" t="s">
        <v>1447</v>
      </c>
      <c r="F588" t="s">
        <v>1960</v>
      </c>
      <c r="G588" t="s">
        <v>1737</v>
      </c>
      <c r="H588" t="s">
        <v>1799</v>
      </c>
      <c r="I588" t="s">
        <v>1799</v>
      </c>
      <c r="J588" t="s">
        <v>1799</v>
      </c>
      <c r="K588" t="s">
        <v>1799</v>
      </c>
      <c r="L588" t="s">
        <v>1483</v>
      </c>
      <c r="M588" t="s">
        <v>1799</v>
      </c>
      <c r="N588" t="s">
        <v>1799</v>
      </c>
      <c r="O588" s="184" t="str">
        <f>"["&amp;$C588&amp;"]["&amp;$D588&amp;"]["&amp;$F588&amp;"]"</f>
        <v>[S05_DefaultValues][289][InstallationCategory]</v>
      </c>
    </row>
    <row r="589" spans="1:15" x14ac:dyDescent="0.3">
      <c r="A589" t="s">
        <v>1793</v>
      </c>
      <c r="B589" t="s">
        <v>1950</v>
      </c>
      <c r="C589" t="s">
        <v>1959</v>
      </c>
      <c r="D589">
        <v>290</v>
      </c>
      <c r="E589" t="s">
        <v>1447</v>
      </c>
      <c r="F589" t="s">
        <v>1960</v>
      </c>
      <c r="G589" t="s">
        <v>1737</v>
      </c>
      <c r="H589" t="s">
        <v>1799</v>
      </c>
      <c r="I589" t="s">
        <v>1799</v>
      </c>
      <c r="J589" t="s">
        <v>1799</v>
      </c>
      <c r="K589" t="s">
        <v>1799</v>
      </c>
      <c r="L589" t="s">
        <v>1483</v>
      </c>
      <c r="M589" t="s">
        <v>1799</v>
      </c>
      <c r="N589" t="s">
        <v>1799</v>
      </c>
      <c r="O589" s="184" t="str">
        <f>"["&amp;$C589&amp;"]["&amp;$D589&amp;"]["&amp;$F589&amp;"]"</f>
        <v>[S05_DefaultValues][290][InstallationCategory]</v>
      </c>
    </row>
    <row r="590" spans="1:15" x14ac:dyDescent="0.3">
      <c r="A590" t="s">
        <v>1793</v>
      </c>
      <c r="B590" t="s">
        <v>1950</v>
      </c>
      <c r="C590" t="s">
        <v>1959</v>
      </c>
      <c r="D590">
        <v>291</v>
      </c>
      <c r="E590" t="s">
        <v>1447</v>
      </c>
      <c r="F590" t="s">
        <v>1960</v>
      </c>
      <c r="G590" t="s">
        <v>1737</v>
      </c>
      <c r="H590" t="s">
        <v>1799</v>
      </c>
      <c r="I590" t="s">
        <v>1799</v>
      </c>
      <c r="J590" t="s">
        <v>1799</v>
      </c>
      <c r="K590" t="s">
        <v>1799</v>
      </c>
      <c r="L590" t="s">
        <v>1483</v>
      </c>
      <c r="M590" t="s">
        <v>1799</v>
      </c>
      <c r="N590" t="s">
        <v>1799</v>
      </c>
      <c r="O590" s="184" t="str">
        <f>"["&amp;$C590&amp;"]["&amp;$D590&amp;"]["&amp;$F590&amp;"]"</f>
        <v>[S05_DefaultValues][291][InstallationCategory]</v>
      </c>
    </row>
    <row r="591" spans="1:15" x14ac:dyDescent="0.3">
      <c r="A591" t="s">
        <v>1793</v>
      </c>
      <c r="B591" t="s">
        <v>1950</v>
      </c>
      <c r="C591" t="s">
        <v>1959</v>
      </c>
      <c r="D591">
        <v>292</v>
      </c>
      <c r="E591" t="s">
        <v>1447</v>
      </c>
      <c r="F591" t="s">
        <v>1960</v>
      </c>
      <c r="G591" t="s">
        <v>1737</v>
      </c>
      <c r="H591" t="s">
        <v>1799</v>
      </c>
      <c r="I591" t="s">
        <v>1799</v>
      </c>
      <c r="J591" t="s">
        <v>1799</v>
      </c>
      <c r="K591" t="s">
        <v>1799</v>
      </c>
      <c r="L591" t="s">
        <v>1483</v>
      </c>
      <c r="M591" t="s">
        <v>1799</v>
      </c>
      <c r="N591" t="s">
        <v>1799</v>
      </c>
      <c r="O591" s="184" t="str">
        <f>"["&amp;$C591&amp;"]["&amp;$D591&amp;"]["&amp;$F591&amp;"]"</f>
        <v>[S05_DefaultValues][292][InstallationCategory]</v>
      </c>
    </row>
    <row r="592" spans="1:15" x14ac:dyDescent="0.3">
      <c r="A592" t="s">
        <v>1793</v>
      </c>
      <c r="B592" t="s">
        <v>1950</v>
      </c>
      <c r="C592" t="s">
        <v>1959</v>
      </c>
      <c r="D592">
        <v>293</v>
      </c>
      <c r="E592" t="s">
        <v>1447</v>
      </c>
      <c r="F592" t="s">
        <v>1960</v>
      </c>
      <c r="G592" t="s">
        <v>1737</v>
      </c>
      <c r="H592" t="s">
        <v>1799</v>
      </c>
      <c r="I592" t="s">
        <v>1799</v>
      </c>
      <c r="J592" t="s">
        <v>1799</v>
      </c>
      <c r="K592" t="s">
        <v>1799</v>
      </c>
      <c r="L592" t="s">
        <v>1483</v>
      </c>
      <c r="M592" t="s">
        <v>1799</v>
      </c>
      <c r="N592" t="s">
        <v>1799</v>
      </c>
      <c r="O592" s="184" t="str">
        <f>"["&amp;$C592&amp;"]["&amp;$D592&amp;"]["&amp;$F592&amp;"]"</f>
        <v>[S05_DefaultValues][293][InstallationCategory]</v>
      </c>
    </row>
    <row r="593" spans="1:15" x14ac:dyDescent="0.3">
      <c r="A593" t="s">
        <v>1793</v>
      </c>
      <c r="B593" t="s">
        <v>1950</v>
      </c>
      <c r="C593" t="s">
        <v>1959</v>
      </c>
      <c r="D593">
        <v>294</v>
      </c>
      <c r="E593" t="s">
        <v>1447</v>
      </c>
      <c r="F593" t="s">
        <v>1960</v>
      </c>
      <c r="G593" t="s">
        <v>1737</v>
      </c>
      <c r="H593" t="s">
        <v>1799</v>
      </c>
      <c r="I593" t="s">
        <v>1799</v>
      </c>
      <c r="J593" t="s">
        <v>1799</v>
      </c>
      <c r="K593" t="s">
        <v>1799</v>
      </c>
      <c r="L593" t="s">
        <v>1483</v>
      </c>
      <c r="M593" t="s">
        <v>1799</v>
      </c>
      <c r="N593" t="s">
        <v>1799</v>
      </c>
      <c r="O593" s="184" t="str">
        <f>"["&amp;$C593&amp;"]["&amp;$D593&amp;"]["&amp;$F593&amp;"]"</f>
        <v>[S05_DefaultValues][294][InstallationCategory]</v>
      </c>
    </row>
    <row r="594" spans="1:15" x14ac:dyDescent="0.3">
      <c r="A594" t="s">
        <v>1793</v>
      </c>
      <c r="B594" t="s">
        <v>1950</v>
      </c>
      <c r="C594" t="s">
        <v>1959</v>
      </c>
      <c r="D594">
        <v>295</v>
      </c>
      <c r="E594" t="s">
        <v>1447</v>
      </c>
      <c r="F594" t="s">
        <v>1960</v>
      </c>
      <c r="G594" t="s">
        <v>1737</v>
      </c>
      <c r="H594" t="s">
        <v>1799</v>
      </c>
      <c r="I594" t="s">
        <v>1799</v>
      </c>
      <c r="J594" t="s">
        <v>1799</v>
      </c>
      <c r="K594" t="s">
        <v>1799</v>
      </c>
      <c r="L594" t="s">
        <v>1483</v>
      </c>
      <c r="M594" t="s">
        <v>1799</v>
      </c>
      <c r="N594" t="s">
        <v>1799</v>
      </c>
      <c r="O594" s="184" t="str">
        <f>"["&amp;$C594&amp;"]["&amp;$D594&amp;"]["&amp;$F594&amp;"]"</f>
        <v>[S05_DefaultValues][295][InstallationCategory]</v>
      </c>
    </row>
    <row r="595" spans="1:15" x14ac:dyDescent="0.3">
      <c r="A595" t="s">
        <v>1793</v>
      </c>
      <c r="B595" t="s">
        <v>1950</v>
      </c>
      <c r="C595" t="s">
        <v>1959</v>
      </c>
      <c r="D595">
        <v>296</v>
      </c>
      <c r="E595" t="s">
        <v>1447</v>
      </c>
      <c r="F595" t="s">
        <v>1960</v>
      </c>
      <c r="G595" t="s">
        <v>1737</v>
      </c>
      <c r="H595" t="s">
        <v>1799</v>
      </c>
      <c r="I595" t="s">
        <v>1799</v>
      </c>
      <c r="J595" t="s">
        <v>1799</v>
      </c>
      <c r="K595" t="s">
        <v>1799</v>
      </c>
      <c r="L595" t="s">
        <v>1483</v>
      </c>
      <c r="M595" t="s">
        <v>1799</v>
      </c>
      <c r="N595" t="s">
        <v>1799</v>
      </c>
      <c r="O595" s="184" t="str">
        <f>"["&amp;$C595&amp;"]["&amp;$D595&amp;"]["&amp;$F595&amp;"]"</f>
        <v>[S05_DefaultValues][296][InstallationCategory]</v>
      </c>
    </row>
    <row r="596" spans="1:15" x14ac:dyDescent="0.3">
      <c r="A596" t="s">
        <v>1793</v>
      </c>
      <c r="B596" t="s">
        <v>1950</v>
      </c>
      <c r="C596" t="s">
        <v>1959</v>
      </c>
      <c r="D596">
        <v>297</v>
      </c>
      <c r="E596" t="s">
        <v>1447</v>
      </c>
      <c r="F596" t="s">
        <v>1960</v>
      </c>
      <c r="G596" t="s">
        <v>1737</v>
      </c>
      <c r="H596" t="s">
        <v>1799</v>
      </c>
      <c r="I596" t="s">
        <v>1799</v>
      </c>
      <c r="J596" t="s">
        <v>1799</v>
      </c>
      <c r="K596" t="s">
        <v>1799</v>
      </c>
      <c r="L596" t="s">
        <v>1483</v>
      </c>
      <c r="M596" t="s">
        <v>1799</v>
      </c>
      <c r="N596" t="s">
        <v>1799</v>
      </c>
      <c r="O596" s="184" t="str">
        <f>"["&amp;$C596&amp;"]["&amp;$D596&amp;"]["&amp;$F596&amp;"]"</f>
        <v>[S05_DefaultValues][297][InstallationCategory]</v>
      </c>
    </row>
    <row r="597" spans="1:15" x14ac:dyDescent="0.3">
      <c r="A597" t="s">
        <v>1793</v>
      </c>
      <c r="B597" t="s">
        <v>1950</v>
      </c>
      <c r="C597" t="s">
        <v>1959</v>
      </c>
      <c r="D597">
        <v>1</v>
      </c>
      <c r="E597" t="s">
        <v>1447</v>
      </c>
      <c r="F597" t="s">
        <v>1961</v>
      </c>
      <c r="G597" t="s">
        <v>1797</v>
      </c>
      <c r="H597" t="s">
        <v>1962</v>
      </c>
      <c r="I597" t="s">
        <v>1799</v>
      </c>
      <c r="J597" t="s">
        <v>1799</v>
      </c>
      <c r="K597" t="s">
        <v>1799</v>
      </c>
      <c r="L597" t="s">
        <v>1799</v>
      </c>
      <c r="M597" t="s">
        <v>1799</v>
      </c>
      <c r="N597" t="s">
        <v>1799</v>
      </c>
      <c r="O597" s="184" t="str">
        <f>"["&amp;$C597&amp;"]["&amp;$D597&amp;"]["&amp;$F597&amp;"]"</f>
        <v>[S05_DefaultValues][1][FuelMaterialType]</v>
      </c>
    </row>
    <row r="598" spans="1:15" x14ac:dyDescent="0.3">
      <c r="A598" t="s">
        <v>1793</v>
      </c>
      <c r="B598" t="s">
        <v>1950</v>
      </c>
      <c r="C598" t="s">
        <v>1959</v>
      </c>
      <c r="D598">
        <v>2</v>
      </c>
      <c r="E598" t="s">
        <v>1447</v>
      </c>
      <c r="F598" t="s">
        <v>1961</v>
      </c>
      <c r="G598" t="s">
        <v>1797</v>
      </c>
      <c r="H598" t="s">
        <v>1963</v>
      </c>
      <c r="I598" t="s">
        <v>1799</v>
      </c>
      <c r="J598" t="s">
        <v>1799</v>
      </c>
      <c r="K598" t="s">
        <v>1799</v>
      </c>
      <c r="L598" t="s">
        <v>1799</v>
      </c>
      <c r="M598" t="s">
        <v>1799</v>
      </c>
      <c r="N598" t="s">
        <v>1799</v>
      </c>
      <c r="O598" s="184" t="str">
        <f>"["&amp;$C598&amp;"]["&amp;$D598&amp;"]["&amp;$F598&amp;"]"</f>
        <v>[S05_DefaultValues][2][FuelMaterialType]</v>
      </c>
    </row>
    <row r="599" spans="1:15" x14ac:dyDescent="0.3">
      <c r="A599" t="s">
        <v>1793</v>
      </c>
      <c r="B599" t="s">
        <v>1950</v>
      </c>
      <c r="C599" t="s">
        <v>1959</v>
      </c>
      <c r="D599">
        <v>3</v>
      </c>
      <c r="E599" t="s">
        <v>1447</v>
      </c>
      <c r="F599" t="s">
        <v>1961</v>
      </c>
      <c r="G599" t="s">
        <v>1797</v>
      </c>
      <c r="H599" t="s">
        <v>1964</v>
      </c>
      <c r="I599" t="s">
        <v>1799</v>
      </c>
      <c r="J599" t="s">
        <v>1799</v>
      </c>
      <c r="K599" t="s">
        <v>1799</v>
      </c>
      <c r="L599" t="s">
        <v>1799</v>
      </c>
      <c r="M599" t="s">
        <v>1799</v>
      </c>
      <c r="N599" t="s">
        <v>1799</v>
      </c>
      <c r="O599" s="184" t="str">
        <f>"["&amp;$C599&amp;"]["&amp;$D599&amp;"]["&amp;$F599&amp;"]"</f>
        <v>[S05_DefaultValues][3][FuelMaterialType]</v>
      </c>
    </row>
    <row r="600" spans="1:15" x14ac:dyDescent="0.3">
      <c r="A600" t="s">
        <v>1793</v>
      </c>
      <c r="B600" t="s">
        <v>1950</v>
      </c>
      <c r="C600" t="s">
        <v>1959</v>
      </c>
      <c r="D600">
        <v>4</v>
      </c>
      <c r="E600" t="s">
        <v>1447</v>
      </c>
      <c r="F600" t="s">
        <v>1961</v>
      </c>
      <c r="G600" t="s">
        <v>1797</v>
      </c>
      <c r="H600" t="s">
        <v>1965</v>
      </c>
      <c r="I600" t="s">
        <v>1799</v>
      </c>
      <c r="J600" t="s">
        <v>1799</v>
      </c>
      <c r="K600" t="s">
        <v>1799</v>
      </c>
      <c r="L600" t="s">
        <v>1799</v>
      </c>
      <c r="M600" t="s">
        <v>1799</v>
      </c>
      <c r="N600" t="s">
        <v>1799</v>
      </c>
      <c r="O600" s="184" t="str">
        <f>"["&amp;$C600&amp;"]["&amp;$D600&amp;"]["&amp;$F600&amp;"]"</f>
        <v>[S05_DefaultValues][4][FuelMaterialType]</v>
      </c>
    </row>
    <row r="601" spans="1:15" x14ac:dyDescent="0.3">
      <c r="A601" t="s">
        <v>1793</v>
      </c>
      <c r="B601" t="s">
        <v>1950</v>
      </c>
      <c r="C601" t="s">
        <v>1959</v>
      </c>
      <c r="D601">
        <v>5</v>
      </c>
      <c r="E601" t="s">
        <v>1447</v>
      </c>
      <c r="F601" t="s">
        <v>1961</v>
      </c>
      <c r="G601" t="s">
        <v>1797</v>
      </c>
      <c r="H601" t="s">
        <v>1966</v>
      </c>
      <c r="I601" t="s">
        <v>1799</v>
      </c>
      <c r="J601" t="s">
        <v>1799</v>
      </c>
      <c r="K601" t="s">
        <v>1799</v>
      </c>
      <c r="L601" t="s">
        <v>1799</v>
      </c>
      <c r="M601" t="s">
        <v>1799</v>
      </c>
      <c r="N601" t="s">
        <v>1799</v>
      </c>
      <c r="O601" s="184" t="str">
        <f>"["&amp;$C601&amp;"]["&amp;$D601&amp;"]["&amp;$F601&amp;"]"</f>
        <v>[S05_DefaultValues][5][FuelMaterialType]</v>
      </c>
    </row>
    <row r="602" spans="1:15" x14ac:dyDescent="0.3">
      <c r="A602" t="s">
        <v>1793</v>
      </c>
      <c r="B602" t="s">
        <v>1950</v>
      </c>
      <c r="C602" t="s">
        <v>1959</v>
      </c>
      <c r="D602">
        <v>6</v>
      </c>
      <c r="E602" t="s">
        <v>1447</v>
      </c>
      <c r="F602" t="s">
        <v>1961</v>
      </c>
      <c r="G602" t="s">
        <v>1797</v>
      </c>
      <c r="H602" t="s">
        <v>1967</v>
      </c>
      <c r="I602" t="s">
        <v>1799</v>
      </c>
      <c r="J602" t="s">
        <v>1799</v>
      </c>
      <c r="K602" t="s">
        <v>1799</v>
      </c>
      <c r="L602" t="s">
        <v>1799</v>
      </c>
      <c r="M602" t="s">
        <v>1799</v>
      </c>
      <c r="N602" t="s">
        <v>1799</v>
      </c>
      <c r="O602" s="184" t="str">
        <f>"["&amp;$C602&amp;"]["&amp;$D602&amp;"]["&amp;$F602&amp;"]"</f>
        <v>[S05_DefaultValues][6][FuelMaterialType]</v>
      </c>
    </row>
    <row r="603" spans="1:15" x14ac:dyDescent="0.3">
      <c r="A603" t="s">
        <v>1793</v>
      </c>
      <c r="B603" t="s">
        <v>1950</v>
      </c>
      <c r="C603" t="s">
        <v>1959</v>
      </c>
      <c r="D603">
        <v>7</v>
      </c>
      <c r="E603" t="s">
        <v>1447</v>
      </c>
      <c r="F603" t="s">
        <v>1961</v>
      </c>
      <c r="G603" t="s">
        <v>1797</v>
      </c>
      <c r="H603" t="s">
        <v>1968</v>
      </c>
      <c r="I603" t="s">
        <v>1799</v>
      </c>
      <c r="J603" t="s">
        <v>1799</v>
      </c>
      <c r="K603" t="s">
        <v>1799</v>
      </c>
      <c r="L603" t="s">
        <v>1799</v>
      </c>
      <c r="M603" t="s">
        <v>1799</v>
      </c>
      <c r="N603" t="s">
        <v>1799</v>
      </c>
      <c r="O603" s="184" t="str">
        <f>"["&amp;$C603&amp;"]["&amp;$D603&amp;"]["&amp;$F603&amp;"]"</f>
        <v>[S05_DefaultValues][7][FuelMaterialType]</v>
      </c>
    </row>
    <row r="604" spans="1:15" x14ac:dyDescent="0.3">
      <c r="A604" t="s">
        <v>1793</v>
      </c>
      <c r="B604" t="s">
        <v>1950</v>
      </c>
      <c r="C604" t="s">
        <v>1959</v>
      </c>
      <c r="D604">
        <v>8</v>
      </c>
      <c r="E604" t="s">
        <v>1447</v>
      </c>
      <c r="F604" t="s">
        <v>1961</v>
      </c>
      <c r="G604" t="s">
        <v>1797</v>
      </c>
      <c r="H604" t="s">
        <v>1969</v>
      </c>
      <c r="I604" t="s">
        <v>1799</v>
      </c>
      <c r="J604" t="s">
        <v>1799</v>
      </c>
      <c r="K604" t="s">
        <v>1799</v>
      </c>
      <c r="L604" t="s">
        <v>1799</v>
      </c>
      <c r="M604" t="s">
        <v>1799</v>
      </c>
      <c r="N604" t="s">
        <v>1799</v>
      </c>
      <c r="O604" s="184" t="str">
        <f>"["&amp;$C604&amp;"]["&amp;$D604&amp;"]["&amp;$F604&amp;"]"</f>
        <v>[S05_DefaultValues][8][FuelMaterialType]</v>
      </c>
    </row>
    <row r="605" spans="1:15" x14ac:dyDescent="0.3">
      <c r="A605" t="s">
        <v>1793</v>
      </c>
      <c r="B605" t="s">
        <v>1950</v>
      </c>
      <c r="C605" t="s">
        <v>1959</v>
      </c>
      <c r="D605">
        <v>9</v>
      </c>
      <c r="E605" t="s">
        <v>1447</v>
      </c>
      <c r="F605" t="s">
        <v>1961</v>
      </c>
      <c r="G605" t="s">
        <v>1797</v>
      </c>
      <c r="H605" t="s">
        <v>1970</v>
      </c>
      <c r="I605" t="s">
        <v>1799</v>
      </c>
      <c r="J605" t="s">
        <v>1799</v>
      </c>
      <c r="K605" t="s">
        <v>1799</v>
      </c>
      <c r="L605" t="s">
        <v>1799</v>
      </c>
      <c r="M605" t="s">
        <v>1799</v>
      </c>
      <c r="N605" t="s">
        <v>1799</v>
      </c>
      <c r="O605" s="184" t="str">
        <f>"["&amp;$C605&amp;"]["&amp;$D605&amp;"]["&amp;$F605&amp;"]"</f>
        <v>[S05_DefaultValues][9][FuelMaterialType]</v>
      </c>
    </row>
    <row r="606" spans="1:15" x14ac:dyDescent="0.3">
      <c r="A606" t="s">
        <v>1793</v>
      </c>
      <c r="B606" t="s">
        <v>1950</v>
      </c>
      <c r="C606" t="s">
        <v>1959</v>
      </c>
      <c r="D606">
        <v>10</v>
      </c>
      <c r="E606" t="s">
        <v>1447</v>
      </c>
      <c r="F606" t="s">
        <v>1961</v>
      </c>
      <c r="G606" t="s">
        <v>1797</v>
      </c>
      <c r="H606" t="s">
        <v>1971</v>
      </c>
      <c r="I606" t="s">
        <v>1799</v>
      </c>
      <c r="J606" t="s">
        <v>1799</v>
      </c>
      <c r="K606" t="s">
        <v>1799</v>
      </c>
      <c r="L606" t="s">
        <v>1799</v>
      </c>
      <c r="M606" t="s">
        <v>1799</v>
      </c>
      <c r="N606" t="s">
        <v>1799</v>
      </c>
      <c r="O606" s="184" t="str">
        <f>"["&amp;$C606&amp;"]["&amp;$D606&amp;"]["&amp;$F606&amp;"]"</f>
        <v>[S05_DefaultValues][10][FuelMaterialType]</v>
      </c>
    </row>
    <row r="607" spans="1:15" x14ac:dyDescent="0.3">
      <c r="A607" t="s">
        <v>1793</v>
      </c>
      <c r="B607" t="s">
        <v>1950</v>
      </c>
      <c r="C607" t="s">
        <v>1959</v>
      </c>
      <c r="D607">
        <v>11</v>
      </c>
      <c r="E607" t="s">
        <v>1447</v>
      </c>
      <c r="F607" t="s">
        <v>1961</v>
      </c>
      <c r="G607" t="s">
        <v>1797</v>
      </c>
      <c r="H607" t="s">
        <v>1972</v>
      </c>
      <c r="I607" t="s">
        <v>1799</v>
      </c>
      <c r="J607" t="s">
        <v>1799</v>
      </c>
      <c r="K607" t="s">
        <v>1799</v>
      </c>
      <c r="L607" t="s">
        <v>1799</v>
      </c>
      <c r="M607" t="s">
        <v>1799</v>
      </c>
      <c r="N607" t="s">
        <v>1799</v>
      </c>
      <c r="O607" s="184" t="str">
        <f>"["&amp;$C607&amp;"]["&amp;$D607&amp;"]["&amp;$F607&amp;"]"</f>
        <v>[S05_DefaultValues][11][FuelMaterialType]</v>
      </c>
    </row>
    <row r="608" spans="1:15" x14ac:dyDescent="0.3">
      <c r="A608" t="s">
        <v>1793</v>
      </c>
      <c r="B608" t="s">
        <v>1950</v>
      </c>
      <c r="C608" t="s">
        <v>1959</v>
      </c>
      <c r="D608">
        <v>12</v>
      </c>
      <c r="E608" t="s">
        <v>1447</v>
      </c>
      <c r="F608" t="s">
        <v>1961</v>
      </c>
      <c r="G608" t="s">
        <v>1797</v>
      </c>
      <c r="H608" t="s">
        <v>1973</v>
      </c>
      <c r="I608" t="s">
        <v>1799</v>
      </c>
      <c r="J608" t="s">
        <v>1799</v>
      </c>
      <c r="K608" t="s">
        <v>1799</v>
      </c>
      <c r="L608" t="s">
        <v>1799</v>
      </c>
      <c r="M608" t="s">
        <v>1799</v>
      </c>
      <c r="N608" t="s">
        <v>1799</v>
      </c>
      <c r="O608" s="184" t="str">
        <f>"["&amp;$C608&amp;"]["&amp;$D608&amp;"]["&amp;$F608&amp;"]"</f>
        <v>[S05_DefaultValues][12][FuelMaterialType]</v>
      </c>
    </row>
    <row r="609" spans="1:15" x14ac:dyDescent="0.3">
      <c r="A609" t="s">
        <v>1793</v>
      </c>
      <c r="B609" t="s">
        <v>1950</v>
      </c>
      <c r="C609" t="s">
        <v>1959</v>
      </c>
      <c r="D609">
        <v>13</v>
      </c>
      <c r="E609" t="s">
        <v>1447</v>
      </c>
      <c r="F609" t="s">
        <v>1961</v>
      </c>
      <c r="G609" t="s">
        <v>1797</v>
      </c>
      <c r="H609" t="s">
        <v>1974</v>
      </c>
      <c r="I609" t="s">
        <v>1799</v>
      </c>
      <c r="J609" t="s">
        <v>1799</v>
      </c>
      <c r="K609" t="s">
        <v>1799</v>
      </c>
      <c r="L609" t="s">
        <v>1799</v>
      </c>
      <c r="M609" t="s">
        <v>1799</v>
      </c>
      <c r="N609" t="s">
        <v>1799</v>
      </c>
      <c r="O609" s="184" t="str">
        <f>"["&amp;$C609&amp;"]["&amp;$D609&amp;"]["&amp;$F609&amp;"]"</f>
        <v>[S05_DefaultValues][13][FuelMaterialType]</v>
      </c>
    </row>
    <row r="610" spans="1:15" x14ac:dyDescent="0.3">
      <c r="A610" t="s">
        <v>1793</v>
      </c>
      <c r="B610" t="s">
        <v>1950</v>
      </c>
      <c r="C610" t="s">
        <v>1959</v>
      </c>
      <c r="D610">
        <v>14</v>
      </c>
      <c r="E610" t="s">
        <v>1447</v>
      </c>
      <c r="F610" t="s">
        <v>1961</v>
      </c>
      <c r="G610" t="s">
        <v>1797</v>
      </c>
      <c r="H610" t="s">
        <v>1975</v>
      </c>
      <c r="I610" t="s">
        <v>1799</v>
      </c>
      <c r="J610" t="s">
        <v>1799</v>
      </c>
      <c r="K610" t="s">
        <v>1799</v>
      </c>
      <c r="L610" t="s">
        <v>1799</v>
      </c>
      <c r="M610" t="s">
        <v>1799</v>
      </c>
      <c r="N610" t="s">
        <v>1799</v>
      </c>
      <c r="O610" s="184" t="str">
        <f>"["&amp;$C610&amp;"]["&amp;$D610&amp;"]["&amp;$F610&amp;"]"</f>
        <v>[S05_DefaultValues][14][FuelMaterialType]</v>
      </c>
    </row>
    <row r="611" spans="1:15" x14ac:dyDescent="0.3">
      <c r="A611" t="s">
        <v>1793</v>
      </c>
      <c r="B611" t="s">
        <v>1950</v>
      </c>
      <c r="C611" t="s">
        <v>1959</v>
      </c>
      <c r="D611">
        <v>15</v>
      </c>
      <c r="E611" t="s">
        <v>1447</v>
      </c>
      <c r="F611" t="s">
        <v>1961</v>
      </c>
      <c r="G611" t="s">
        <v>1797</v>
      </c>
      <c r="H611" t="s">
        <v>1976</v>
      </c>
      <c r="I611" t="s">
        <v>1799</v>
      </c>
      <c r="J611" t="s">
        <v>1799</v>
      </c>
      <c r="K611" t="s">
        <v>1799</v>
      </c>
      <c r="L611" t="s">
        <v>1799</v>
      </c>
      <c r="M611" t="s">
        <v>1799</v>
      </c>
      <c r="N611" t="s">
        <v>1799</v>
      </c>
      <c r="O611" s="184" t="str">
        <f>"["&amp;$C611&amp;"]["&amp;$D611&amp;"]["&amp;$F611&amp;"]"</f>
        <v>[S05_DefaultValues][15][FuelMaterialType]</v>
      </c>
    </row>
    <row r="612" spans="1:15" x14ac:dyDescent="0.3">
      <c r="A612" t="s">
        <v>1793</v>
      </c>
      <c r="B612" t="s">
        <v>1950</v>
      </c>
      <c r="C612" t="s">
        <v>1959</v>
      </c>
      <c r="D612">
        <v>16</v>
      </c>
      <c r="E612" t="s">
        <v>1447</v>
      </c>
      <c r="F612" t="s">
        <v>1961</v>
      </c>
      <c r="G612" t="s">
        <v>1797</v>
      </c>
      <c r="H612" t="s">
        <v>1977</v>
      </c>
      <c r="I612" t="s">
        <v>1799</v>
      </c>
      <c r="J612" t="s">
        <v>1799</v>
      </c>
      <c r="K612" t="s">
        <v>1799</v>
      </c>
      <c r="L612" t="s">
        <v>1799</v>
      </c>
      <c r="M612" t="s">
        <v>1799</v>
      </c>
      <c r="N612" t="s">
        <v>1799</v>
      </c>
      <c r="O612" s="184" t="str">
        <f>"["&amp;$C612&amp;"]["&amp;$D612&amp;"]["&amp;$F612&amp;"]"</f>
        <v>[S05_DefaultValues][16][FuelMaterialType]</v>
      </c>
    </row>
    <row r="613" spans="1:15" x14ac:dyDescent="0.3">
      <c r="A613" t="s">
        <v>1793</v>
      </c>
      <c r="B613" t="s">
        <v>1950</v>
      </c>
      <c r="C613" t="s">
        <v>1959</v>
      </c>
      <c r="D613">
        <v>17</v>
      </c>
      <c r="E613" t="s">
        <v>1447</v>
      </c>
      <c r="F613" t="s">
        <v>1961</v>
      </c>
      <c r="G613" t="s">
        <v>1797</v>
      </c>
      <c r="H613" t="s">
        <v>1978</v>
      </c>
      <c r="I613" t="s">
        <v>1799</v>
      </c>
      <c r="J613" t="s">
        <v>1799</v>
      </c>
      <c r="K613" t="s">
        <v>1799</v>
      </c>
      <c r="L613" t="s">
        <v>1799</v>
      </c>
      <c r="M613" t="s">
        <v>1799</v>
      </c>
      <c r="N613" t="s">
        <v>1799</v>
      </c>
      <c r="O613" s="184" t="str">
        <f>"["&amp;$C613&amp;"]["&amp;$D613&amp;"]["&amp;$F613&amp;"]"</f>
        <v>[S05_DefaultValues][17][FuelMaterialType]</v>
      </c>
    </row>
    <row r="614" spans="1:15" x14ac:dyDescent="0.3">
      <c r="A614" t="s">
        <v>1793</v>
      </c>
      <c r="B614" t="s">
        <v>1950</v>
      </c>
      <c r="C614" t="s">
        <v>1959</v>
      </c>
      <c r="D614">
        <v>18</v>
      </c>
      <c r="E614" t="s">
        <v>1447</v>
      </c>
      <c r="F614" t="s">
        <v>1961</v>
      </c>
      <c r="G614" t="s">
        <v>1797</v>
      </c>
      <c r="H614" t="s">
        <v>1979</v>
      </c>
      <c r="I614" t="s">
        <v>1799</v>
      </c>
      <c r="J614" t="s">
        <v>1799</v>
      </c>
      <c r="K614" t="s">
        <v>1799</v>
      </c>
      <c r="L614" t="s">
        <v>1799</v>
      </c>
      <c r="M614" t="s">
        <v>1799</v>
      </c>
      <c r="N614" t="s">
        <v>1799</v>
      </c>
      <c r="O614" s="184" t="str">
        <f>"["&amp;$C614&amp;"]["&amp;$D614&amp;"]["&amp;$F614&amp;"]"</f>
        <v>[S05_DefaultValues][18][FuelMaterialType]</v>
      </c>
    </row>
    <row r="615" spans="1:15" x14ac:dyDescent="0.3">
      <c r="A615" t="s">
        <v>1793</v>
      </c>
      <c r="B615" t="s">
        <v>1950</v>
      </c>
      <c r="C615" t="s">
        <v>1959</v>
      </c>
      <c r="D615">
        <v>19</v>
      </c>
      <c r="E615" t="s">
        <v>1447</v>
      </c>
      <c r="F615" t="s">
        <v>1961</v>
      </c>
      <c r="G615" t="s">
        <v>1797</v>
      </c>
      <c r="H615" t="s">
        <v>1980</v>
      </c>
      <c r="I615" t="s">
        <v>1799</v>
      </c>
      <c r="J615" t="s">
        <v>1799</v>
      </c>
      <c r="K615" t="s">
        <v>1799</v>
      </c>
      <c r="L615" t="s">
        <v>1799</v>
      </c>
      <c r="M615" t="s">
        <v>1799</v>
      </c>
      <c r="N615" t="s">
        <v>1799</v>
      </c>
      <c r="O615" s="184" t="str">
        <f>"["&amp;$C615&amp;"]["&amp;$D615&amp;"]["&amp;$F615&amp;"]"</f>
        <v>[S05_DefaultValues][19][FuelMaterialType]</v>
      </c>
    </row>
    <row r="616" spans="1:15" x14ac:dyDescent="0.3">
      <c r="A616" t="s">
        <v>1793</v>
      </c>
      <c r="B616" t="s">
        <v>1950</v>
      </c>
      <c r="C616" t="s">
        <v>1959</v>
      </c>
      <c r="D616">
        <v>20</v>
      </c>
      <c r="E616" t="s">
        <v>1447</v>
      </c>
      <c r="F616" t="s">
        <v>1961</v>
      </c>
      <c r="G616" t="s">
        <v>1797</v>
      </c>
      <c r="H616" t="s">
        <v>1981</v>
      </c>
      <c r="I616" t="s">
        <v>1799</v>
      </c>
      <c r="J616" t="s">
        <v>1799</v>
      </c>
      <c r="K616" t="s">
        <v>1799</v>
      </c>
      <c r="L616" t="s">
        <v>1799</v>
      </c>
      <c r="M616" t="s">
        <v>1799</v>
      </c>
      <c r="N616" t="s">
        <v>1799</v>
      </c>
      <c r="O616" s="184" t="str">
        <f>"["&amp;$C616&amp;"]["&amp;$D616&amp;"]["&amp;$F616&amp;"]"</f>
        <v>[S05_DefaultValues][20][FuelMaterialType]</v>
      </c>
    </row>
    <row r="617" spans="1:15" x14ac:dyDescent="0.3">
      <c r="A617" t="s">
        <v>1793</v>
      </c>
      <c r="B617" t="s">
        <v>1950</v>
      </c>
      <c r="C617" t="s">
        <v>1959</v>
      </c>
      <c r="D617">
        <v>21</v>
      </c>
      <c r="E617" t="s">
        <v>1447</v>
      </c>
      <c r="F617" t="s">
        <v>1961</v>
      </c>
      <c r="G617" t="s">
        <v>1797</v>
      </c>
      <c r="H617" t="s">
        <v>1982</v>
      </c>
      <c r="I617" t="s">
        <v>1799</v>
      </c>
      <c r="J617" t="s">
        <v>1799</v>
      </c>
      <c r="K617" t="s">
        <v>1799</v>
      </c>
      <c r="L617" t="s">
        <v>1799</v>
      </c>
      <c r="M617" t="s">
        <v>1799</v>
      </c>
      <c r="N617" t="s">
        <v>1799</v>
      </c>
      <c r="O617" s="184" t="str">
        <f>"["&amp;$C617&amp;"]["&amp;$D617&amp;"]["&amp;$F617&amp;"]"</f>
        <v>[S05_DefaultValues][21][FuelMaterialType]</v>
      </c>
    </row>
    <row r="618" spans="1:15" x14ac:dyDescent="0.3">
      <c r="A618" t="s">
        <v>1793</v>
      </c>
      <c r="B618" t="s">
        <v>1950</v>
      </c>
      <c r="C618" t="s">
        <v>1959</v>
      </c>
      <c r="D618">
        <v>22</v>
      </c>
      <c r="E618" t="s">
        <v>1447</v>
      </c>
      <c r="F618" t="s">
        <v>1961</v>
      </c>
      <c r="G618" t="s">
        <v>1797</v>
      </c>
      <c r="H618" t="s">
        <v>1983</v>
      </c>
      <c r="I618" t="s">
        <v>1799</v>
      </c>
      <c r="J618" t="s">
        <v>1799</v>
      </c>
      <c r="K618" t="s">
        <v>1799</v>
      </c>
      <c r="L618" t="s">
        <v>1799</v>
      </c>
      <c r="M618" t="s">
        <v>1799</v>
      </c>
      <c r="N618" t="s">
        <v>1799</v>
      </c>
      <c r="O618" s="184" t="str">
        <f>"["&amp;$C618&amp;"]["&amp;$D618&amp;"]["&amp;$F618&amp;"]"</f>
        <v>[S05_DefaultValues][22][FuelMaterialType]</v>
      </c>
    </row>
    <row r="619" spans="1:15" x14ac:dyDescent="0.3">
      <c r="A619" t="s">
        <v>1793</v>
      </c>
      <c r="B619" t="s">
        <v>1950</v>
      </c>
      <c r="C619" t="s">
        <v>1959</v>
      </c>
      <c r="D619">
        <v>23</v>
      </c>
      <c r="E619" t="s">
        <v>1447</v>
      </c>
      <c r="F619" t="s">
        <v>1961</v>
      </c>
      <c r="G619" t="s">
        <v>1797</v>
      </c>
      <c r="H619" t="s">
        <v>1984</v>
      </c>
      <c r="I619" t="s">
        <v>1799</v>
      </c>
      <c r="J619" t="s">
        <v>1799</v>
      </c>
      <c r="K619" t="s">
        <v>1799</v>
      </c>
      <c r="L619" t="s">
        <v>1799</v>
      </c>
      <c r="M619" t="s">
        <v>1799</v>
      </c>
      <c r="N619" t="s">
        <v>1799</v>
      </c>
      <c r="O619" s="184" t="str">
        <f>"["&amp;$C619&amp;"]["&amp;$D619&amp;"]["&amp;$F619&amp;"]"</f>
        <v>[S05_DefaultValues][23][FuelMaterialType]</v>
      </c>
    </row>
    <row r="620" spans="1:15" x14ac:dyDescent="0.3">
      <c r="A620" t="s">
        <v>1793</v>
      </c>
      <c r="B620" t="s">
        <v>1950</v>
      </c>
      <c r="C620" t="s">
        <v>1959</v>
      </c>
      <c r="D620">
        <v>24</v>
      </c>
      <c r="E620" t="s">
        <v>1447</v>
      </c>
      <c r="F620" t="s">
        <v>1961</v>
      </c>
      <c r="G620" t="s">
        <v>1797</v>
      </c>
      <c r="H620" t="s">
        <v>1985</v>
      </c>
      <c r="I620" t="s">
        <v>1799</v>
      </c>
      <c r="J620" t="s">
        <v>1799</v>
      </c>
      <c r="K620" t="s">
        <v>1799</v>
      </c>
      <c r="L620" t="s">
        <v>1799</v>
      </c>
      <c r="M620" t="s">
        <v>1799</v>
      </c>
      <c r="N620" t="s">
        <v>1799</v>
      </c>
      <c r="O620" s="184" t="str">
        <f>"["&amp;$C620&amp;"]["&amp;$D620&amp;"]["&amp;$F620&amp;"]"</f>
        <v>[S05_DefaultValues][24][FuelMaterialType]</v>
      </c>
    </row>
    <row r="621" spans="1:15" x14ac:dyDescent="0.3">
      <c r="A621" t="s">
        <v>1793</v>
      </c>
      <c r="B621" t="s">
        <v>1950</v>
      </c>
      <c r="C621" t="s">
        <v>1959</v>
      </c>
      <c r="D621">
        <v>25</v>
      </c>
      <c r="E621" t="s">
        <v>1447</v>
      </c>
      <c r="F621" t="s">
        <v>1961</v>
      </c>
      <c r="G621" t="s">
        <v>1797</v>
      </c>
      <c r="H621" t="s">
        <v>1986</v>
      </c>
      <c r="I621" t="s">
        <v>1799</v>
      </c>
      <c r="J621" t="s">
        <v>1799</v>
      </c>
      <c r="K621" t="s">
        <v>1799</v>
      </c>
      <c r="L621" t="s">
        <v>1799</v>
      </c>
      <c r="M621" t="s">
        <v>1799</v>
      </c>
      <c r="N621" t="s">
        <v>1799</v>
      </c>
      <c r="O621" s="184" t="str">
        <f>"["&amp;$C621&amp;"]["&amp;$D621&amp;"]["&amp;$F621&amp;"]"</f>
        <v>[S05_DefaultValues][25][FuelMaterialType]</v>
      </c>
    </row>
    <row r="622" spans="1:15" x14ac:dyDescent="0.3">
      <c r="A622" t="s">
        <v>1793</v>
      </c>
      <c r="B622" t="s">
        <v>1950</v>
      </c>
      <c r="C622" t="s">
        <v>1959</v>
      </c>
      <c r="D622">
        <v>26</v>
      </c>
      <c r="E622" t="s">
        <v>1447</v>
      </c>
      <c r="F622" t="s">
        <v>1961</v>
      </c>
      <c r="G622" t="s">
        <v>1797</v>
      </c>
      <c r="H622" t="s">
        <v>1987</v>
      </c>
      <c r="I622" t="s">
        <v>1799</v>
      </c>
      <c r="J622" t="s">
        <v>1799</v>
      </c>
      <c r="K622" t="s">
        <v>1799</v>
      </c>
      <c r="L622" t="s">
        <v>1799</v>
      </c>
      <c r="M622" t="s">
        <v>1799</v>
      </c>
      <c r="N622" t="s">
        <v>1799</v>
      </c>
      <c r="O622" s="184" t="str">
        <f>"["&amp;$C622&amp;"]["&amp;$D622&amp;"]["&amp;$F622&amp;"]"</f>
        <v>[S05_DefaultValues][26][FuelMaterialType]</v>
      </c>
    </row>
    <row r="623" spans="1:15" x14ac:dyDescent="0.3">
      <c r="A623" t="s">
        <v>1793</v>
      </c>
      <c r="B623" t="s">
        <v>1950</v>
      </c>
      <c r="C623" t="s">
        <v>1959</v>
      </c>
      <c r="D623">
        <v>27</v>
      </c>
      <c r="E623" t="s">
        <v>1447</v>
      </c>
      <c r="F623" t="s">
        <v>1961</v>
      </c>
      <c r="G623" t="s">
        <v>1797</v>
      </c>
      <c r="H623" t="s">
        <v>1988</v>
      </c>
      <c r="I623" t="s">
        <v>1799</v>
      </c>
      <c r="J623" t="s">
        <v>1799</v>
      </c>
      <c r="K623" t="s">
        <v>1799</v>
      </c>
      <c r="L623" t="s">
        <v>1799</v>
      </c>
      <c r="M623" t="s">
        <v>1799</v>
      </c>
      <c r="N623" t="s">
        <v>1799</v>
      </c>
      <c r="O623" s="184" t="str">
        <f>"["&amp;$C623&amp;"]["&amp;$D623&amp;"]["&amp;$F623&amp;"]"</f>
        <v>[S05_DefaultValues][27][FuelMaterialType]</v>
      </c>
    </row>
    <row r="624" spans="1:15" x14ac:dyDescent="0.3">
      <c r="A624" t="s">
        <v>1793</v>
      </c>
      <c r="B624" t="s">
        <v>1950</v>
      </c>
      <c r="C624" t="s">
        <v>1959</v>
      </c>
      <c r="D624">
        <v>28</v>
      </c>
      <c r="E624" t="s">
        <v>1447</v>
      </c>
      <c r="F624" t="s">
        <v>1961</v>
      </c>
      <c r="G624" t="s">
        <v>1797</v>
      </c>
      <c r="H624" t="s">
        <v>1989</v>
      </c>
      <c r="I624" t="s">
        <v>1799</v>
      </c>
      <c r="J624" t="s">
        <v>1799</v>
      </c>
      <c r="K624" t="s">
        <v>1799</v>
      </c>
      <c r="L624" t="s">
        <v>1799</v>
      </c>
      <c r="M624" t="s">
        <v>1799</v>
      </c>
      <c r="N624" t="s">
        <v>1799</v>
      </c>
      <c r="O624" s="184" t="str">
        <f>"["&amp;$C624&amp;"]["&amp;$D624&amp;"]["&amp;$F624&amp;"]"</f>
        <v>[S05_DefaultValues][28][FuelMaterialType]</v>
      </c>
    </row>
    <row r="625" spans="1:15" x14ac:dyDescent="0.3">
      <c r="A625" t="s">
        <v>1793</v>
      </c>
      <c r="B625" t="s">
        <v>1950</v>
      </c>
      <c r="C625" t="s">
        <v>1959</v>
      </c>
      <c r="D625">
        <v>29</v>
      </c>
      <c r="E625" t="s">
        <v>1447</v>
      </c>
      <c r="F625" t="s">
        <v>1961</v>
      </c>
      <c r="G625" t="s">
        <v>1797</v>
      </c>
      <c r="H625" t="s">
        <v>1990</v>
      </c>
      <c r="I625" t="s">
        <v>1799</v>
      </c>
      <c r="J625" t="s">
        <v>1799</v>
      </c>
      <c r="K625" t="s">
        <v>1799</v>
      </c>
      <c r="L625" t="s">
        <v>1799</v>
      </c>
      <c r="M625" t="s">
        <v>1799</v>
      </c>
      <c r="N625" t="s">
        <v>1799</v>
      </c>
      <c r="O625" s="184" t="str">
        <f>"["&amp;$C625&amp;"]["&amp;$D625&amp;"]["&amp;$F625&amp;"]"</f>
        <v>[S05_DefaultValues][29][FuelMaterialType]</v>
      </c>
    </row>
    <row r="626" spans="1:15" x14ac:dyDescent="0.3">
      <c r="A626" t="s">
        <v>1793</v>
      </c>
      <c r="B626" t="s">
        <v>1950</v>
      </c>
      <c r="C626" t="s">
        <v>1959</v>
      </c>
      <c r="D626">
        <v>30</v>
      </c>
      <c r="E626" t="s">
        <v>1447</v>
      </c>
      <c r="F626" t="s">
        <v>1961</v>
      </c>
      <c r="G626" t="s">
        <v>1797</v>
      </c>
      <c r="H626" t="s">
        <v>1991</v>
      </c>
      <c r="I626" t="s">
        <v>1799</v>
      </c>
      <c r="J626" t="s">
        <v>1799</v>
      </c>
      <c r="K626" t="s">
        <v>1799</v>
      </c>
      <c r="L626" t="s">
        <v>1799</v>
      </c>
      <c r="M626" t="s">
        <v>1799</v>
      </c>
      <c r="N626" t="s">
        <v>1799</v>
      </c>
      <c r="O626" s="184" t="str">
        <f>"["&amp;$C626&amp;"]["&amp;$D626&amp;"]["&amp;$F626&amp;"]"</f>
        <v>[S05_DefaultValues][30][FuelMaterialType]</v>
      </c>
    </row>
    <row r="627" spans="1:15" x14ac:dyDescent="0.3">
      <c r="A627" t="s">
        <v>1793</v>
      </c>
      <c r="B627" t="s">
        <v>1950</v>
      </c>
      <c r="C627" t="s">
        <v>1959</v>
      </c>
      <c r="D627">
        <v>31</v>
      </c>
      <c r="E627" t="s">
        <v>1447</v>
      </c>
      <c r="F627" t="s">
        <v>1961</v>
      </c>
      <c r="G627" t="s">
        <v>1797</v>
      </c>
      <c r="H627" t="s">
        <v>1992</v>
      </c>
      <c r="I627" t="s">
        <v>1799</v>
      </c>
      <c r="J627" t="s">
        <v>1799</v>
      </c>
      <c r="K627" t="s">
        <v>1799</v>
      </c>
      <c r="L627" t="s">
        <v>1799</v>
      </c>
      <c r="M627" t="s">
        <v>1799</v>
      </c>
      <c r="N627" t="s">
        <v>1799</v>
      </c>
      <c r="O627" s="184" t="str">
        <f>"["&amp;$C627&amp;"]["&amp;$D627&amp;"]["&amp;$F627&amp;"]"</f>
        <v>[S05_DefaultValues][31][FuelMaterialType]</v>
      </c>
    </row>
    <row r="628" spans="1:15" x14ac:dyDescent="0.3">
      <c r="A628" t="s">
        <v>1793</v>
      </c>
      <c r="B628" t="s">
        <v>1950</v>
      </c>
      <c r="C628" t="s">
        <v>1959</v>
      </c>
      <c r="D628">
        <v>32</v>
      </c>
      <c r="E628" t="s">
        <v>1447</v>
      </c>
      <c r="F628" t="s">
        <v>1961</v>
      </c>
      <c r="G628" t="s">
        <v>1797</v>
      </c>
      <c r="H628" t="s">
        <v>1993</v>
      </c>
      <c r="I628" t="s">
        <v>1799</v>
      </c>
      <c r="J628" t="s">
        <v>1799</v>
      </c>
      <c r="K628" t="s">
        <v>1799</v>
      </c>
      <c r="L628" t="s">
        <v>1799</v>
      </c>
      <c r="M628" t="s">
        <v>1799</v>
      </c>
      <c r="N628" t="s">
        <v>1799</v>
      </c>
      <c r="O628" s="184" t="str">
        <f>"["&amp;$C628&amp;"]["&amp;$D628&amp;"]["&amp;$F628&amp;"]"</f>
        <v>[S05_DefaultValues][32][FuelMaterialType]</v>
      </c>
    </row>
    <row r="629" spans="1:15" x14ac:dyDescent="0.3">
      <c r="A629" t="s">
        <v>1793</v>
      </c>
      <c r="B629" t="s">
        <v>1950</v>
      </c>
      <c r="C629" t="s">
        <v>1959</v>
      </c>
      <c r="D629">
        <v>33</v>
      </c>
      <c r="E629" t="s">
        <v>1447</v>
      </c>
      <c r="F629" t="s">
        <v>1961</v>
      </c>
      <c r="G629" t="s">
        <v>1797</v>
      </c>
      <c r="H629" t="s">
        <v>1994</v>
      </c>
      <c r="I629" t="s">
        <v>1799</v>
      </c>
      <c r="J629" t="s">
        <v>1799</v>
      </c>
      <c r="K629" t="s">
        <v>1799</v>
      </c>
      <c r="L629" t="s">
        <v>1799</v>
      </c>
      <c r="M629" t="s">
        <v>1799</v>
      </c>
      <c r="N629" t="s">
        <v>1799</v>
      </c>
      <c r="O629" s="184" t="str">
        <f>"["&amp;$C629&amp;"]["&amp;$D629&amp;"]["&amp;$F629&amp;"]"</f>
        <v>[S05_DefaultValues][33][FuelMaterialType]</v>
      </c>
    </row>
    <row r="630" spans="1:15" x14ac:dyDescent="0.3">
      <c r="A630" t="s">
        <v>1793</v>
      </c>
      <c r="B630" t="s">
        <v>1950</v>
      </c>
      <c r="C630" t="s">
        <v>1959</v>
      </c>
      <c r="D630">
        <v>34</v>
      </c>
      <c r="E630" t="s">
        <v>1447</v>
      </c>
      <c r="F630" t="s">
        <v>1961</v>
      </c>
      <c r="G630" t="s">
        <v>1797</v>
      </c>
      <c r="H630" t="s">
        <v>1995</v>
      </c>
      <c r="I630" t="s">
        <v>1799</v>
      </c>
      <c r="J630" t="s">
        <v>1799</v>
      </c>
      <c r="K630" t="s">
        <v>1799</v>
      </c>
      <c r="L630" t="s">
        <v>1799</v>
      </c>
      <c r="M630" t="s">
        <v>1799</v>
      </c>
      <c r="N630" t="s">
        <v>1799</v>
      </c>
      <c r="O630" s="184" t="str">
        <f>"["&amp;$C630&amp;"]["&amp;$D630&amp;"]["&amp;$F630&amp;"]"</f>
        <v>[S05_DefaultValues][34][FuelMaterialType]</v>
      </c>
    </row>
    <row r="631" spans="1:15" x14ac:dyDescent="0.3">
      <c r="A631" t="s">
        <v>1793</v>
      </c>
      <c r="B631" t="s">
        <v>1950</v>
      </c>
      <c r="C631" t="s">
        <v>1959</v>
      </c>
      <c r="D631">
        <v>35</v>
      </c>
      <c r="E631" t="s">
        <v>1447</v>
      </c>
      <c r="F631" t="s">
        <v>1961</v>
      </c>
      <c r="G631" t="s">
        <v>1797</v>
      </c>
      <c r="H631" t="s">
        <v>1996</v>
      </c>
      <c r="I631" t="s">
        <v>1799</v>
      </c>
      <c r="J631" t="s">
        <v>1799</v>
      </c>
      <c r="K631" t="s">
        <v>1799</v>
      </c>
      <c r="L631" t="s">
        <v>1799</v>
      </c>
      <c r="M631" t="s">
        <v>1799</v>
      </c>
      <c r="N631" t="s">
        <v>1799</v>
      </c>
      <c r="O631" s="184" t="str">
        <f>"["&amp;$C631&amp;"]["&amp;$D631&amp;"]["&amp;$F631&amp;"]"</f>
        <v>[S05_DefaultValues][35][FuelMaterialType]</v>
      </c>
    </row>
    <row r="632" spans="1:15" x14ac:dyDescent="0.3">
      <c r="A632" t="s">
        <v>1793</v>
      </c>
      <c r="B632" t="s">
        <v>1950</v>
      </c>
      <c r="C632" t="s">
        <v>1959</v>
      </c>
      <c r="D632">
        <v>36</v>
      </c>
      <c r="E632" t="s">
        <v>1447</v>
      </c>
      <c r="F632" t="s">
        <v>1961</v>
      </c>
      <c r="G632" t="s">
        <v>1797</v>
      </c>
      <c r="H632" t="s">
        <v>1997</v>
      </c>
      <c r="I632" t="s">
        <v>1799</v>
      </c>
      <c r="J632" t="s">
        <v>1799</v>
      </c>
      <c r="K632" t="s">
        <v>1799</v>
      </c>
      <c r="L632" t="s">
        <v>1799</v>
      </c>
      <c r="M632" t="s">
        <v>1799</v>
      </c>
      <c r="N632" t="s">
        <v>1799</v>
      </c>
      <c r="O632" s="184" t="str">
        <f>"["&amp;$C632&amp;"]["&amp;$D632&amp;"]["&amp;$F632&amp;"]"</f>
        <v>[S05_DefaultValues][36][FuelMaterialType]</v>
      </c>
    </row>
    <row r="633" spans="1:15" x14ac:dyDescent="0.3">
      <c r="A633" t="s">
        <v>1793</v>
      </c>
      <c r="B633" t="s">
        <v>1950</v>
      </c>
      <c r="C633" t="s">
        <v>1959</v>
      </c>
      <c r="D633">
        <v>37</v>
      </c>
      <c r="E633" t="s">
        <v>1447</v>
      </c>
      <c r="F633" t="s">
        <v>1961</v>
      </c>
      <c r="G633" t="s">
        <v>1797</v>
      </c>
      <c r="H633" t="s">
        <v>1998</v>
      </c>
      <c r="I633" t="s">
        <v>1799</v>
      </c>
      <c r="J633" t="s">
        <v>1799</v>
      </c>
      <c r="K633" t="s">
        <v>1799</v>
      </c>
      <c r="L633" t="s">
        <v>1799</v>
      </c>
      <c r="M633" t="s">
        <v>1799</v>
      </c>
      <c r="N633" t="s">
        <v>1799</v>
      </c>
      <c r="O633" s="184" t="str">
        <f>"["&amp;$C633&amp;"]["&amp;$D633&amp;"]["&amp;$F633&amp;"]"</f>
        <v>[S05_DefaultValues][37][FuelMaterialType]</v>
      </c>
    </row>
    <row r="634" spans="1:15" x14ac:dyDescent="0.3">
      <c r="A634" t="s">
        <v>1793</v>
      </c>
      <c r="B634" t="s">
        <v>1950</v>
      </c>
      <c r="C634" t="s">
        <v>1959</v>
      </c>
      <c r="D634">
        <v>38</v>
      </c>
      <c r="E634" t="s">
        <v>1447</v>
      </c>
      <c r="F634" t="s">
        <v>1961</v>
      </c>
      <c r="G634" t="s">
        <v>1797</v>
      </c>
      <c r="H634" t="s">
        <v>1999</v>
      </c>
      <c r="I634" t="s">
        <v>1799</v>
      </c>
      <c r="J634" t="s">
        <v>1799</v>
      </c>
      <c r="K634" t="s">
        <v>1799</v>
      </c>
      <c r="L634" t="s">
        <v>1799</v>
      </c>
      <c r="M634" t="s">
        <v>1799</v>
      </c>
      <c r="N634" t="s">
        <v>1799</v>
      </c>
      <c r="O634" s="184" t="str">
        <f>"["&amp;$C634&amp;"]["&amp;$D634&amp;"]["&amp;$F634&amp;"]"</f>
        <v>[S05_DefaultValues][38][FuelMaterialType]</v>
      </c>
    </row>
    <row r="635" spans="1:15" x14ac:dyDescent="0.3">
      <c r="A635" t="s">
        <v>1793</v>
      </c>
      <c r="B635" t="s">
        <v>1950</v>
      </c>
      <c r="C635" t="s">
        <v>1959</v>
      </c>
      <c r="D635">
        <v>39</v>
      </c>
      <c r="E635" t="s">
        <v>1447</v>
      </c>
      <c r="F635" t="s">
        <v>1961</v>
      </c>
      <c r="G635" t="s">
        <v>1797</v>
      </c>
      <c r="H635" t="s">
        <v>2000</v>
      </c>
      <c r="I635" t="s">
        <v>1799</v>
      </c>
      <c r="J635" t="s">
        <v>1799</v>
      </c>
      <c r="K635" t="s">
        <v>1799</v>
      </c>
      <c r="L635" t="s">
        <v>1799</v>
      </c>
      <c r="M635" t="s">
        <v>1799</v>
      </c>
      <c r="N635" t="s">
        <v>1799</v>
      </c>
      <c r="O635" s="184" t="str">
        <f>"["&amp;$C635&amp;"]["&amp;$D635&amp;"]["&amp;$F635&amp;"]"</f>
        <v>[S05_DefaultValues][39][FuelMaterialType]</v>
      </c>
    </row>
    <row r="636" spans="1:15" x14ac:dyDescent="0.3">
      <c r="A636" t="s">
        <v>1793</v>
      </c>
      <c r="B636" t="s">
        <v>1950</v>
      </c>
      <c r="C636" t="s">
        <v>1959</v>
      </c>
      <c r="D636">
        <v>40</v>
      </c>
      <c r="E636" t="s">
        <v>1447</v>
      </c>
      <c r="F636" t="s">
        <v>1961</v>
      </c>
      <c r="G636" t="s">
        <v>1797</v>
      </c>
      <c r="H636" t="s">
        <v>2001</v>
      </c>
      <c r="I636" t="s">
        <v>1799</v>
      </c>
      <c r="J636" t="s">
        <v>1799</v>
      </c>
      <c r="K636" t="s">
        <v>1799</v>
      </c>
      <c r="L636" t="s">
        <v>1799</v>
      </c>
      <c r="M636" t="s">
        <v>1799</v>
      </c>
      <c r="N636" t="s">
        <v>1799</v>
      </c>
      <c r="O636" s="184" t="str">
        <f>"["&amp;$C636&amp;"]["&amp;$D636&amp;"]["&amp;$F636&amp;"]"</f>
        <v>[S05_DefaultValues][40][FuelMaterialType]</v>
      </c>
    </row>
    <row r="637" spans="1:15" x14ac:dyDescent="0.3">
      <c r="A637" t="s">
        <v>1793</v>
      </c>
      <c r="B637" t="s">
        <v>1950</v>
      </c>
      <c r="C637" t="s">
        <v>1959</v>
      </c>
      <c r="D637">
        <v>41</v>
      </c>
      <c r="E637" t="s">
        <v>1447</v>
      </c>
      <c r="F637" t="s">
        <v>1961</v>
      </c>
      <c r="G637" t="s">
        <v>1797</v>
      </c>
      <c r="H637" t="s">
        <v>2002</v>
      </c>
      <c r="I637" t="s">
        <v>1799</v>
      </c>
      <c r="J637" t="s">
        <v>1799</v>
      </c>
      <c r="K637" t="s">
        <v>1799</v>
      </c>
      <c r="L637" t="s">
        <v>1799</v>
      </c>
      <c r="M637" t="s">
        <v>1799</v>
      </c>
      <c r="N637" t="s">
        <v>1799</v>
      </c>
      <c r="O637" s="184" t="str">
        <f>"["&amp;$C637&amp;"]["&amp;$D637&amp;"]["&amp;$F637&amp;"]"</f>
        <v>[S05_DefaultValues][41][FuelMaterialType]</v>
      </c>
    </row>
    <row r="638" spans="1:15" x14ac:dyDescent="0.3">
      <c r="A638" t="s">
        <v>1793</v>
      </c>
      <c r="B638" t="s">
        <v>1950</v>
      </c>
      <c r="C638" t="s">
        <v>1959</v>
      </c>
      <c r="D638">
        <v>42</v>
      </c>
      <c r="E638" t="s">
        <v>1447</v>
      </c>
      <c r="F638" t="s">
        <v>1961</v>
      </c>
      <c r="G638" t="s">
        <v>1797</v>
      </c>
      <c r="H638" t="s">
        <v>2003</v>
      </c>
      <c r="I638" t="s">
        <v>1799</v>
      </c>
      <c r="J638" t="s">
        <v>1799</v>
      </c>
      <c r="K638" t="s">
        <v>1799</v>
      </c>
      <c r="L638" t="s">
        <v>1799</v>
      </c>
      <c r="M638" t="s">
        <v>1799</v>
      </c>
      <c r="N638" t="s">
        <v>1799</v>
      </c>
      <c r="O638" s="184" t="str">
        <f>"["&amp;$C638&amp;"]["&amp;$D638&amp;"]["&amp;$F638&amp;"]"</f>
        <v>[S05_DefaultValues][42][FuelMaterialType]</v>
      </c>
    </row>
    <row r="639" spans="1:15" x14ac:dyDescent="0.3">
      <c r="A639" t="s">
        <v>1793</v>
      </c>
      <c r="B639" t="s">
        <v>1950</v>
      </c>
      <c r="C639" t="s">
        <v>1959</v>
      </c>
      <c r="D639">
        <v>43</v>
      </c>
      <c r="E639" t="s">
        <v>1447</v>
      </c>
      <c r="F639" t="s">
        <v>1961</v>
      </c>
      <c r="G639" t="s">
        <v>1797</v>
      </c>
      <c r="H639" t="s">
        <v>2004</v>
      </c>
      <c r="I639" t="s">
        <v>1799</v>
      </c>
      <c r="J639" t="s">
        <v>1799</v>
      </c>
      <c r="K639" t="s">
        <v>1799</v>
      </c>
      <c r="L639" t="s">
        <v>1799</v>
      </c>
      <c r="M639" t="s">
        <v>1799</v>
      </c>
      <c r="N639" t="s">
        <v>1799</v>
      </c>
      <c r="O639" s="184" t="str">
        <f>"["&amp;$C639&amp;"]["&amp;$D639&amp;"]["&amp;$F639&amp;"]"</f>
        <v>[S05_DefaultValues][43][FuelMaterialType]</v>
      </c>
    </row>
    <row r="640" spans="1:15" x14ac:dyDescent="0.3">
      <c r="A640" t="s">
        <v>1793</v>
      </c>
      <c r="B640" t="s">
        <v>1950</v>
      </c>
      <c r="C640" t="s">
        <v>1959</v>
      </c>
      <c r="D640">
        <v>44</v>
      </c>
      <c r="E640" t="s">
        <v>1447</v>
      </c>
      <c r="F640" t="s">
        <v>1961</v>
      </c>
      <c r="G640" t="s">
        <v>1797</v>
      </c>
      <c r="H640" t="s">
        <v>2005</v>
      </c>
      <c r="I640" t="s">
        <v>1799</v>
      </c>
      <c r="J640" t="s">
        <v>1799</v>
      </c>
      <c r="K640" t="s">
        <v>1799</v>
      </c>
      <c r="L640" t="s">
        <v>1799</v>
      </c>
      <c r="M640" t="s">
        <v>1799</v>
      </c>
      <c r="N640" t="s">
        <v>1799</v>
      </c>
      <c r="O640" s="184" t="str">
        <f>"["&amp;$C640&amp;"]["&amp;$D640&amp;"]["&amp;$F640&amp;"]"</f>
        <v>[S05_DefaultValues][44][FuelMaterialType]</v>
      </c>
    </row>
    <row r="641" spans="1:15" x14ac:dyDescent="0.3">
      <c r="A641" t="s">
        <v>1793</v>
      </c>
      <c r="B641" t="s">
        <v>1950</v>
      </c>
      <c r="C641" t="s">
        <v>1959</v>
      </c>
      <c r="D641">
        <v>45</v>
      </c>
      <c r="E641" t="s">
        <v>1447</v>
      </c>
      <c r="F641" t="s">
        <v>1961</v>
      </c>
      <c r="G641" t="s">
        <v>1797</v>
      </c>
      <c r="H641" t="s">
        <v>2006</v>
      </c>
      <c r="I641" t="s">
        <v>1799</v>
      </c>
      <c r="J641" t="s">
        <v>1799</v>
      </c>
      <c r="K641" t="s">
        <v>1799</v>
      </c>
      <c r="L641" t="s">
        <v>1799</v>
      </c>
      <c r="M641" t="s">
        <v>1799</v>
      </c>
      <c r="N641" t="s">
        <v>1799</v>
      </c>
      <c r="O641" s="184" t="str">
        <f>"["&amp;$C641&amp;"]["&amp;$D641&amp;"]["&amp;$F641&amp;"]"</f>
        <v>[S05_DefaultValues][45][FuelMaterialType]</v>
      </c>
    </row>
    <row r="642" spans="1:15" x14ac:dyDescent="0.3">
      <c r="A642" t="s">
        <v>1793</v>
      </c>
      <c r="B642" t="s">
        <v>1950</v>
      </c>
      <c r="C642" t="s">
        <v>1959</v>
      </c>
      <c r="D642">
        <v>46</v>
      </c>
      <c r="E642" t="s">
        <v>1447</v>
      </c>
      <c r="F642" t="s">
        <v>1961</v>
      </c>
      <c r="G642" t="s">
        <v>1797</v>
      </c>
      <c r="H642" t="s">
        <v>2007</v>
      </c>
      <c r="I642" t="s">
        <v>1799</v>
      </c>
      <c r="J642" t="s">
        <v>1799</v>
      </c>
      <c r="K642" t="s">
        <v>1799</v>
      </c>
      <c r="L642" t="s">
        <v>1799</v>
      </c>
      <c r="M642" t="s">
        <v>1799</v>
      </c>
      <c r="N642" t="s">
        <v>1799</v>
      </c>
      <c r="O642" s="184" t="str">
        <f>"["&amp;$C642&amp;"]["&amp;$D642&amp;"]["&amp;$F642&amp;"]"</f>
        <v>[S05_DefaultValues][46][FuelMaterialType]</v>
      </c>
    </row>
    <row r="643" spans="1:15" x14ac:dyDescent="0.3">
      <c r="A643" t="s">
        <v>1793</v>
      </c>
      <c r="B643" t="s">
        <v>1950</v>
      </c>
      <c r="C643" t="s">
        <v>1959</v>
      </c>
      <c r="D643">
        <v>47</v>
      </c>
      <c r="E643" t="s">
        <v>1447</v>
      </c>
      <c r="F643" t="s">
        <v>1961</v>
      </c>
      <c r="G643" t="s">
        <v>1797</v>
      </c>
      <c r="H643" t="s">
        <v>2008</v>
      </c>
      <c r="I643" t="s">
        <v>1799</v>
      </c>
      <c r="J643" t="s">
        <v>1799</v>
      </c>
      <c r="K643" t="s">
        <v>1799</v>
      </c>
      <c r="L643" t="s">
        <v>1799</v>
      </c>
      <c r="M643" t="s">
        <v>1799</v>
      </c>
      <c r="N643" t="s">
        <v>1799</v>
      </c>
      <c r="O643" s="184" t="str">
        <f>"["&amp;$C643&amp;"]["&amp;$D643&amp;"]["&amp;$F643&amp;"]"</f>
        <v>[S05_DefaultValues][47][FuelMaterialType]</v>
      </c>
    </row>
    <row r="644" spans="1:15" x14ac:dyDescent="0.3">
      <c r="A644" t="s">
        <v>1793</v>
      </c>
      <c r="B644" t="s">
        <v>1950</v>
      </c>
      <c r="C644" t="s">
        <v>1959</v>
      </c>
      <c r="D644">
        <v>48</v>
      </c>
      <c r="E644" t="s">
        <v>1447</v>
      </c>
      <c r="F644" t="s">
        <v>1961</v>
      </c>
      <c r="G644" t="s">
        <v>1797</v>
      </c>
      <c r="H644" t="s">
        <v>2009</v>
      </c>
      <c r="I644" t="s">
        <v>1799</v>
      </c>
      <c r="J644" t="s">
        <v>1799</v>
      </c>
      <c r="K644" t="s">
        <v>1799</v>
      </c>
      <c r="L644" t="s">
        <v>1799</v>
      </c>
      <c r="M644" t="s">
        <v>1799</v>
      </c>
      <c r="N644" t="s">
        <v>1799</v>
      </c>
      <c r="O644" s="184" t="str">
        <f>"["&amp;$C644&amp;"]["&amp;$D644&amp;"]["&amp;$F644&amp;"]"</f>
        <v>[S05_DefaultValues][48][FuelMaterialType]</v>
      </c>
    </row>
    <row r="645" spans="1:15" x14ac:dyDescent="0.3">
      <c r="A645" t="s">
        <v>1793</v>
      </c>
      <c r="B645" t="s">
        <v>1950</v>
      </c>
      <c r="C645" t="s">
        <v>1959</v>
      </c>
      <c r="D645">
        <v>49</v>
      </c>
      <c r="E645" t="s">
        <v>1447</v>
      </c>
      <c r="F645" t="s">
        <v>1961</v>
      </c>
      <c r="G645" t="s">
        <v>1797</v>
      </c>
      <c r="H645" t="s">
        <v>2010</v>
      </c>
      <c r="I645" t="s">
        <v>1799</v>
      </c>
      <c r="J645" t="s">
        <v>1799</v>
      </c>
      <c r="K645" t="s">
        <v>1799</v>
      </c>
      <c r="L645" t="s">
        <v>1799</v>
      </c>
      <c r="M645" t="s">
        <v>1799</v>
      </c>
      <c r="N645" t="s">
        <v>1799</v>
      </c>
      <c r="O645" s="184" t="str">
        <f>"["&amp;$C645&amp;"]["&amp;$D645&amp;"]["&amp;$F645&amp;"]"</f>
        <v>[S05_DefaultValues][49][FuelMaterialType]</v>
      </c>
    </row>
    <row r="646" spans="1:15" x14ac:dyDescent="0.3">
      <c r="A646" t="s">
        <v>1793</v>
      </c>
      <c r="B646" t="s">
        <v>1950</v>
      </c>
      <c r="C646" t="s">
        <v>1959</v>
      </c>
      <c r="D646">
        <v>50</v>
      </c>
      <c r="E646" t="s">
        <v>1447</v>
      </c>
      <c r="F646" t="s">
        <v>1961</v>
      </c>
      <c r="G646" t="s">
        <v>1797</v>
      </c>
      <c r="H646" t="s">
        <v>2011</v>
      </c>
      <c r="I646" t="s">
        <v>1799</v>
      </c>
      <c r="J646" t="s">
        <v>1799</v>
      </c>
      <c r="K646" t="s">
        <v>1799</v>
      </c>
      <c r="L646" t="s">
        <v>1799</v>
      </c>
      <c r="M646" t="s">
        <v>1799</v>
      </c>
      <c r="N646" t="s">
        <v>1799</v>
      </c>
      <c r="O646" s="184" t="str">
        <f>"["&amp;$C646&amp;"]["&amp;$D646&amp;"]["&amp;$F646&amp;"]"</f>
        <v>[S05_DefaultValues][50][FuelMaterialType]</v>
      </c>
    </row>
    <row r="647" spans="1:15" x14ac:dyDescent="0.3">
      <c r="A647" t="s">
        <v>1793</v>
      </c>
      <c r="B647" t="s">
        <v>1950</v>
      </c>
      <c r="C647" t="s">
        <v>1959</v>
      </c>
      <c r="D647">
        <v>51</v>
      </c>
      <c r="E647" t="s">
        <v>1447</v>
      </c>
      <c r="F647" t="s">
        <v>1961</v>
      </c>
      <c r="G647" t="s">
        <v>1797</v>
      </c>
      <c r="H647" t="s">
        <v>2012</v>
      </c>
      <c r="I647" t="s">
        <v>1799</v>
      </c>
      <c r="J647" t="s">
        <v>1799</v>
      </c>
      <c r="K647" t="s">
        <v>1799</v>
      </c>
      <c r="L647" t="s">
        <v>1799</v>
      </c>
      <c r="M647" t="s">
        <v>1799</v>
      </c>
      <c r="N647" t="s">
        <v>1799</v>
      </c>
      <c r="O647" s="184" t="str">
        <f>"["&amp;$C647&amp;"]["&amp;$D647&amp;"]["&amp;$F647&amp;"]"</f>
        <v>[S05_DefaultValues][51][FuelMaterialType]</v>
      </c>
    </row>
    <row r="648" spans="1:15" x14ac:dyDescent="0.3">
      <c r="A648" t="s">
        <v>1793</v>
      </c>
      <c r="B648" t="s">
        <v>1950</v>
      </c>
      <c r="C648" t="s">
        <v>1959</v>
      </c>
      <c r="D648">
        <v>52</v>
      </c>
      <c r="E648" t="s">
        <v>1447</v>
      </c>
      <c r="F648" t="s">
        <v>1961</v>
      </c>
      <c r="G648" t="s">
        <v>1797</v>
      </c>
      <c r="H648" t="s">
        <v>2013</v>
      </c>
      <c r="I648" t="s">
        <v>1799</v>
      </c>
      <c r="J648" t="s">
        <v>1799</v>
      </c>
      <c r="K648" t="s">
        <v>1799</v>
      </c>
      <c r="L648" t="s">
        <v>1799</v>
      </c>
      <c r="M648" t="s">
        <v>1799</v>
      </c>
      <c r="N648" t="s">
        <v>1799</v>
      </c>
      <c r="O648" s="184" t="str">
        <f>"["&amp;$C648&amp;"]["&amp;$D648&amp;"]["&amp;$F648&amp;"]"</f>
        <v>[S05_DefaultValues][52][FuelMaterialType]</v>
      </c>
    </row>
    <row r="649" spans="1:15" x14ac:dyDescent="0.3">
      <c r="A649" t="s">
        <v>1793</v>
      </c>
      <c r="B649" t="s">
        <v>1950</v>
      </c>
      <c r="C649" t="s">
        <v>1959</v>
      </c>
      <c r="D649">
        <v>53</v>
      </c>
      <c r="E649" t="s">
        <v>1447</v>
      </c>
      <c r="F649" t="s">
        <v>1961</v>
      </c>
      <c r="G649" t="s">
        <v>1797</v>
      </c>
      <c r="H649" t="s">
        <v>2014</v>
      </c>
      <c r="I649" t="s">
        <v>1799</v>
      </c>
      <c r="J649" t="s">
        <v>1799</v>
      </c>
      <c r="K649" t="s">
        <v>1799</v>
      </c>
      <c r="L649" t="s">
        <v>1799</v>
      </c>
      <c r="M649" t="s">
        <v>1799</v>
      </c>
      <c r="N649" t="s">
        <v>1799</v>
      </c>
      <c r="O649" s="184" t="str">
        <f>"["&amp;$C649&amp;"]["&amp;$D649&amp;"]["&amp;$F649&amp;"]"</f>
        <v>[S05_DefaultValues][53][FuelMaterialType]</v>
      </c>
    </row>
    <row r="650" spans="1:15" x14ac:dyDescent="0.3">
      <c r="A650" t="s">
        <v>1793</v>
      </c>
      <c r="B650" t="s">
        <v>1950</v>
      </c>
      <c r="C650" t="s">
        <v>1959</v>
      </c>
      <c r="D650">
        <v>54</v>
      </c>
      <c r="E650" t="s">
        <v>1447</v>
      </c>
      <c r="F650" t="s">
        <v>1961</v>
      </c>
      <c r="G650" t="s">
        <v>1797</v>
      </c>
      <c r="H650" t="s">
        <v>2015</v>
      </c>
      <c r="I650" t="s">
        <v>1799</v>
      </c>
      <c r="J650" t="s">
        <v>1799</v>
      </c>
      <c r="K650" t="s">
        <v>1799</v>
      </c>
      <c r="L650" t="s">
        <v>1799</v>
      </c>
      <c r="M650" t="s">
        <v>1799</v>
      </c>
      <c r="N650" t="s">
        <v>1799</v>
      </c>
      <c r="O650" s="184" t="str">
        <f>"["&amp;$C650&amp;"]["&amp;$D650&amp;"]["&amp;$F650&amp;"]"</f>
        <v>[S05_DefaultValues][54][FuelMaterialType]</v>
      </c>
    </row>
    <row r="651" spans="1:15" x14ac:dyDescent="0.3">
      <c r="A651" t="s">
        <v>1793</v>
      </c>
      <c r="B651" t="s">
        <v>1950</v>
      </c>
      <c r="C651" t="s">
        <v>1959</v>
      </c>
      <c r="D651">
        <v>55</v>
      </c>
      <c r="E651" t="s">
        <v>1447</v>
      </c>
      <c r="F651" t="s">
        <v>1961</v>
      </c>
      <c r="G651" t="s">
        <v>1797</v>
      </c>
      <c r="H651" t="s">
        <v>2016</v>
      </c>
      <c r="I651" t="s">
        <v>1799</v>
      </c>
      <c r="J651" t="s">
        <v>1799</v>
      </c>
      <c r="K651" t="s">
        <v>1799</v>
      </c>
      <c r="L651" t="s">
        <v>1799</v>
      </c>
      <c r="M651" t="s">
        <v>1799</v>
      </c>
      <c r="N651" t="s">
        <v>1799</v>
      </c>
      <c r="O651" s="184" t="str">
        <f>"["&amp;$C651&amp;"]["&amp;$D651&amp;"]["&amp;$F651&amp;"]"</f>
        <v>[S05_DefaultValues][55][FuelMaterialType]</v>
      </c>
    </row>
    <row r="652" spans="1:15" x14ac:dyDescent="0.3">
      <c r="A652" t="s">
        <v>1793</v>
      </c>
      <c r="B652" t="s">
        <v>1950</v>
      </c>
      <c r="C652" t="s">
        <v>1959</v>
      </c>
      <c r="D652">
        <v>56</v>
      </c>
      <c r="E652" t="s">
        <v>1447</v>
      </c>
      <c r="F652" t="s">
        <v>1961</v>
      </c>
      <c r="G652" t="s">
        <v>1797</v>
      </c>
      <c r="H652" t="s">
        <v>2017</v>
      </c>
      <c r="I652" t="s">
        <v>1799</v>
      </c>
      <c r="J652" t="s">
        <v>1799</v>
      </c>
      <c r="K652" t="s">
        <v>1799</v>
      </c>
      <c r="L652" t="s">
        <v>1799</v>
      </c>
      <c r="M652" t="s">
        <v>1799</v>
      </c>
      <c r="N652" t="s">
        <v>1799</v>
      </c>
      <c r="O652" s="184" t="str">
        <f>"["&amp;$C652&amp;"]["&amp;$D652&amp;"]["&amp;$F652&amp;"]"</f>
        <v>[S05_DefaultValues][56][FuelMaterialType]</v>
      </c>
    </row>
    <row r="653" spans="1:15" x14ac:dyDescent="0.3">
      <c r="A653" t="s">
        <v>1793</v>
      </c>
      <c r="B653" t="s">
        <v>1950</v>
      </c>
      <c r="C653" t="s">
        <v>1959</v>
      </c>
      <c r="D653">
        <v>57</v>
      </c>
      <c r="E653" t="s">
        <v>1447</v>
      </c>
      <c r="F653" t="s">
        <v>1961</v>
      </c>
      <c r="G653" t="s">
        <v>1797</v>
      </c>
      <c r="H653" t="s">
        <v>2018</v>
      </c>
      <c r="I653" t="s">
        <v>1799</v>
      </c>
      <c r="J653" t="s">
        <v>1799</v>
      </c>
      <c r="K653" t="s">
        <v>1799</v>
      </c>
      <c r="L653" t="s">
        <v>1799</v>
      </c>
      <c r="M653" t="s">
        <v>1799</v>
      </c>
      <c r="N653" t="s">
        <v>1799</v>
      </c>
      <c r="O653" s="184" t="str">
        <f>"["&amp;$C653&amp;"]["&amp;$D653&amp;"]["&amp;$F653&amp;"]"</f>
        <v>[S05_DefaultValues][57][FuelMaterialType]</v>
      </c>
    </row>
    <row r="654" spans="1:15" x14ac:dyDescent="0.3">
      <c r="A654" t="s">
        <v>1793</v>
      </c>
      <c r="B654" t="s">
        <v>1950</v>
      </c>
      <c r="C654" t="s">
        <v>1959</v>
      </c>
      <c r="D654">
        <v>58</v>
      </c>
      <c r="E654" t="s">
        <v>1447</v>
      </c>
      <c r="F654" t="s">
        <v>1961</v>
      </c>
      <c r="G654" t="s">
        <v>1797</v>
      </c>
      <c r="H654" t="s">
        <v>2019</v>
      </c>
      <c r="I654" t="s">
        <v>1799</v>
      </c>
      <c r="J654" t="s">
        <v>1799</v>
      </c>
      <c r="K654" t="s">
        <v>1799</v>
      </c>
      <c r="L654" t="s">
        <v>1799</v>
      </c>
      <c r="M654" t="s">
        <v>1799</v>
      </c>
      <c r="N654" t="s">
        <v>1799</v>
      </c>
      <c r="O654" s="184" t="str">
        <f>"["&amp;$C654&amp;"]["&amp;$D654&amp;"]["&amp;$F654&amp;"]"</f>
        <v>[S05_DefaultValues][58][FuelMaterialType]</v>
      </c>
    </row>
    <row r="655" spans="1:15" x14ac:dyDescent="0.3">
      <c r="A655" t="s">
        <v>1793</v>
      </c>
      <c r="B655" t="s">
        <v>1950</v>
      </c>
      <c r="C655" t="s">
        <v>1959</v>
      </c>
      <c r="D655">
        <v>59</v>
      </c>
      <c r="E655" t="s">
        <v>1447</v>
      </c>
      <c r="F655" t="s">
        <v>1961</v>
      </c>
      <c r="G655" t="s">
        <v>1797</v>
      </c>
      <c r="H655" t="s">
        <v>2020</v>
      </c>
      <c r="I655" t="s">
        <v>1799</v>
      </c>
      <c r="J655" t="s">
        <v>1799</v>
      </c>
      <c r="K655" t="s">
        <v>1799</v>
      </c>
      <c r="L655" t="s">
        <v>1799</v>
      </c>
      <c r="M655" t="s">
        <v>1799</v>
      </c>
      <c r="N655" t="s">
        <v>1799</v>
      </c>
      <c r="O655" s="184" t="str">
        <f>"["&amp;$C655&amp;"]["&amp;$D655&amp;"]["&amp;$F655&amp;"]"</f>
        <v>[S05_DefaultValues][59][FuelMaterialType]</v>
      </c>
    </row>
    <row r="656" spans="1:15" x14ac:dyDescent="0.3">
      <c r="A656" t="s">
        <v>1793</v>
      </c>
      <c r="B656" t="s">
        <v>1950</v>
      </c>
      <c r="C656" t="s">
        <v>1959</v>
      </c>
      <c r="D656">
        <v>60</v>
      </c>
      <c r="E656" t="s">
        <v>1447</v>
      </c>
      <c r="F656" t="s">
        <v>1961</v>
      </c>
      <c r="G656" t="s">
        <v>1797</v>
      </c>
      <c r="H656" t="s">
        <v>2021</v>
      </c>
      <c r="I656" t="s">
        <v>1799</v>
      </c>
      <c r="J656" t="s">
        <v>1799</v>
      </c>
      <c r="K656" t="s">
        <v>1799</v>
      </c>
      <c r="L656" t="s">
        <v>1799</v>
      </c>
      <c r="M656" t="s">
        <v>1799</v>
      </c>
      <c r="N656" t="s">
        <v>1799</v>
      </c>
      <c r="O656" s="184" t="str">
        <f>"["&amp;$C656&amp;"]["&amp;$D656&amp;"]["&amp;$F656&amp;"]"</f>
        <v>[S05_DefaultValues][60][FuelMaterialType]</v>
      </c>
    </row>
    <row r="657" spans="1:15" x14ac:dyDescent="0.3">
      <c r="A657" t="s">
        <v>1793</v>
      </c>
      <c r="B657" t="s">
        <v>1950</v>
      </c>
      <c r="C657" t="s">
        <v>1959</v>
      </c>
      <c r="D657">
        <v>61</v>
      </c>
      <c r="E657" t="s">
        <v>1447</v>
      </c>
      <c r="F657" t="s">
        <v>1961</v>
      </c>
      <c r="G657" t="s">
        <v>1797</v>
      </c>
      <c r="H657" t="s">
        <v>2022</v>
      </c>
      <c r="I657" t="s">
        <v>1799</v>
      </c>
      <c r="J657" t="s">
        <v>1799</v>
      </c>
      <c r="K657" t="s">
        <v>1799</v>
      </c>
      <c r="L657" t="s">
        <v>1799</v>
      </c>
      <c r="M657" t="s">
        <v>1799</v>
      </c>
      <c r="N657" t="s">
        <v>1799</v>
      </c>
      <c r="O657" s="184" t="str">
        <f>"["&amp;$C657&amp;"]["&amp;$D657&amp;"]["&amp;$F657&amp;"]"</f>
        <v>[S05_DefaultValues][61][FuelMaterialType]</v>
      </c>
    </row>
    <row r="658" spans="1:15" x14ac:dyDescent="0.3">
      <c r="A658" t="s">
        <v>1793</v>
      </c>
      <c r="B658" t="s">
        <v>1950</v>
      </c>
      <c r="C658" t="s">
        <v>1959</v>
      </c>
      <c r="D658">
        <v>62</v>
      </c>
      <c r="E658" t="s">
        <v>1447</v>
      </c>
      <c r="F658" t="s">
        <v>1961</v>
      </c>
      <c r="G658" t="s">
        <v>1797</v>
      </c>
      <c r="H658" t="s">
        <v>2023</v>
      </c>
      <c r="I658" t="s">
        <v>1799</v>
      </c>
      <c r="J658" t="s">
        <v>1799</v>
      </c>
      <c r="K658" t="s">
        <v>1799</v>
      </c>
      <c r="L658" t="s">
        <v>1799</v>
      </c>
      <c r="M658" t="s">
        <v>1799</v>
      </c>
      <c r="N658" t="s">
        <v>1799</v>
      </c>
      <c r="O658" s="184" t="str">
        <f>"["&amp;$C658&amp;"]["&amp;$D658&amp;"]["&amp;$F658&amp;"]"</f>
        <v>[S05_DefaultValues][62][FuelMaterialType]</v>
      </c>
    </row>
    <row r="659" spans="1:15" x14ac:dyDescent="0.3">
      <c r="A659" t="s">
        <v>1793</v>
      </c>
      <c r="B659" t="s">
        <v>1950</v>
      </c>
      <c r="C659" t="s">
        <v>1959</v>
      </c>
      <c r="D659">
        <v>63</v>
      </c>
      <c r="E659" t="s">
        <v>1447</v>
      </c>
      <c r="F659" t="s">
        <v>1961</v>
      </c>
      <c r="G659" t="s">
        <v>1797</v>
      </c>
      <c r="H659" t="s">
        <v>2024</v>
      </c>
      <c r="I659" t="s">
        <v>1799</v>
      </c>
      <c r="J659" t="s">
        <v>1799</v>
      </c>
      <c r="K659" t="s">
        <v>1799</v>
      </c>
      <c r="L659" t="s">
        <v>1799</v>
      </c>
      <c r="M659" t="s">
        <v>1799</v>
      </c>
      <c r="N659" t="s">
        <v>1799</v>
      </c>
      <c r="O659" s="184" t="str">
        <f>"["&amp;$C659&amp;"]["&amp;$D659&amp;"]["&amp;$F659&amp;"]"</f>
        <v>[S05_DefaultValues][63][FuelMaterialType]</v>
      </c>
    </row>
    <row r="660" spans="1:15" x14ac:dyDescent="0.3">
      <c r="A660" t="s">
        <v>1793</v>
      </c>
      <c r="B660" t="s">
        <v>1950</v>
      </c>
      <c r="C660" t="s">
        <v>1959</v>
      </c>
      <c r="D660">
        <v>64</v>
      </c>
      <c r="E660" t="s">
        <v>1447</v>
      </c>
      <c r="F660" t="s">
        <v>1961</v>
      </c>
      <c r="G660" t="s">
        <v>1797</v>
      </c>
      <c r="H660" t="s">
        <v>2025</v>
      </c>
      <c r="I660" t="s">
        <v>1799</v>
      </c>
      <c r="J660" t="s">
        <v>1799</v>
      </c>
      <c r="K660" t="s">
        <v>1799</v>
      </c>
      <c r="L660" t="s">
        <v>1799</v>
      </c>
      <c r="M660" t="s">
        <v>1799</v>
      </c>
      <c r="N660" t="s">
        <v>1799</v>
      </c>
      <c r="O660" s="184" t="str">
        <f>"["&amp;$C660&amp;"]["&amp;$D660&amp;"]["&amp;$F660&amp;"]"</f>
        <v>[S05_DefaultValues][64][FuelMaterialType]</v>
      </c>
    </row>
    <row r="661" spans="1:15" x14ac:dyDescent="0.3">
      <c r="A661" t="s">
        <v>1793</v>
      </c>
      <c r="B661" t="s">
        <v>1950</v>
      </c>
      <c r="C661" t="s">
        <v>1959</v>
      </c>
      <c r="D661">
        <v>65</v>
      </c>
      <c r="E661" t="s">
        <v>1447</v>
      </c>
      <c r="F661" t="s">
        <v>1961</v>
      </c>
      <c r="G661" t="s">
        <v>1797</v>
      </c>
      <c r="H661" t="s">
        <v>2026</v>
      </c>
      <c r="I661" t="s">
        <v>1799</v>
      </c>
      <c r="J661" t="s">
        <v>1799</v>
      </c>
      <c r="K661" t="s">
        <v>1799</v>
      </c>
      <c r="L661" t="s">
        <v>1799</v>
      </c>
      <c r="M661" t="s">
        <v>1799</v>
      </c>
      <c r="N661" t="s">
        <v>1799</v>
      </c>
      <c r="O661" s="184" t="str">
        <f>"["&amp;$C661&amp;"]["&amp;$D661&amp;"]["&amp;$F661&amp;"]"</f>
        <v>[S05_DefaultValues][65][FuelMaterialType]</v>
      </c>
    </row>
    <row r="662" spans="1:15" x14ac:dyDescent="0.3">
      <c r="A662" t="s">
        <v>1793</v>
      </c>
      <c r="B662" t="s">
        <v>1950</v>
      </c>
      <c r="C662" t="s">
        <v>1959</v>
      </c>
      <c r="D662">
        <v>66</v>
      </c>
      <c r="E662" t="s">
        <v>1447</v>
      </c>
      <c r="F662" t="s">
        <v>1961</v>
      </c>
      <c r="G662" t="s">
        <v>1797</v>
      </c>
      <c r="H662" t="s">
        <v>2027</v>
      </c>
      <c r="I662" t="s">
        <v>1799</v>
      </c>
      <c r="J662" t="s">
        <v>1799</v>
      </c>
      <c r="K662" t="s">
        <v>1799</v>
      </c>
      <c r="L662" t="s">
        <v>1799</v>
      </c>
      <c r="M662" t="s">
        <v>1799</v>
      </c>
      <c r="N662" t="s">
        <v>1799</v>
      </c>
      <c r="O662" s="184" t="str">
        <f>"["&amp;$C662&amp;"]["&amp;$D662&amp;"]["&amp;$F662&amp;"]"</f>
        <v>[S05_DefaultValues][66][FuelMaterialType]</v>
      </c>
    </row>
    <row r="663" spans="1:15" x14ac:dyDescent="0.3">
      <c r="A663" t="s">
        <v>1793</v>
      </c>
      <c r="B663" t="s">
        <v>1950</v>
      </c>
      <c r="C663" t="s">
        <v>1959</v>
      </c>
      <c r="D663">
        <v>67</v>
      </c>
      <c r="E663" t="s">
        <v>1447</v>
      </c>
      <c r="F663" t="s">
        <v>1961</v>
      </c>
      <c r="G663" t="s">
        <v>1797</v>
      </c>
      <c r="H663" t="s">
        <v>2028</v>
      </c>
      <c r="I663" t="s">
        <v>1799</v>
      </c>
      <c r="J663" t="s">
        <v>1799</v>
      </c>
      <c r="K663" t="s">
        <v>1799</v>
      </c>
      <c r="L663" t="s">
        <v>1799</v>
      </c>
      <c r="M663" t="s">
        <v>1799</v>
      </c>
      <c r="N663" t="s">
        <v>1799</v>
      </c>
      <c r="O663" s="184" t="str">
        <f>"["&amp;$C663&amp;"]["&amp;$D663&amp;"]["&amp;$F663&amp;"]"</f>
        <v>[S05_DefaultValues][67][FuelMaterialType]</v>
      </c>
    </row>
    <row r="664" spans="1:15" x14ac:dyDescent="0.3">
      <c r="A664" t="s">
        <v>1793</v>
      </c>
      <c r="B664" t="s">
        <v>1950</v>
      </c>
      <c r="C664" t="s">
        <v>1959</v>
      </c>
      <c r="D664">
        <v>68</v>
      </c>
      <c r="E664" t="s">
        <v>1447</v>
      </c>
      <c r="F664" t="s">
        <v>1961</v>
      </c>
      <c r="G664" t="s">
        <v>1797</v>
      </c>
      <c r="H664" t="s">
        <v>2029</v>
      </c>
      <c r="I664" t="s">
        <v>1799</v>
      </c>
      <c r="J664" t="s">
        <v>1799</v>
      </c>
      <c r="K664" t="s">
        <v>1799</v>
      </c>
      <c r="L664" t="s">
        <v>1799</v>
      </c>
      <c r="M664" t="s">
        <v>1799</v>
      </c>
      <c r="N664" t="s">
        <v>1799</v>
      </c>
      <c r="O664" s="184" t="str">
        <f>"["&amp;$C664&amp;"]["&amp;$D664&amp;"]["&amp;$F664&amp;"]"</f>
        <v>[S05_DefaultValues][68][FuelMaterialType]</v>
      </c>
    </row>
    <row r="665" spans="1:15" x14ac:dyDescent="0.3">
      <c r="A665" t="s">
        <v>1793</v>
      </c>
      <c r="B665" t="s">
        <v>1950</v>
      </c>
      <c r="C665" t="s">
        <v>1959</v>
      </c>
      <c r="D665">
        <v>69</v>
      </c>
      <c r="E665" t="s">
        <v>1447</v>
      </c>
      <c r="F665" t="s">
        <v>1961</v>
      </c>
      <c r="G665" t="s">
        <v>1797</v>
      </c>
      <c r="H665" t="s">
        <v>2030</v>
      </c>
      <c r="I665" t="s">
        <v>1799</v>
      </c>
      <c r="J665" t="s">
        <v>1799</v>
      </c>
      <c r="K665" t="s">
        <v>1799</v>
      </c>
      <c r="L665" t="s">
        <v>1799</v>
      </c>
      <c r="M665" t="s">
        <v>1799</v>
      </c>
      <c r="N665" t="s">
        <v>1799</v>
      </c>
      <c r="O665" s="184" t="str">
        <f>"["&amp;$C665&amp;"]["&amp;$D665&amp;"]["&amp;$F665&amp;"]"</f>
        <v>[S05_DefaultValues][69][FuelMaterialType]</v>
      </c>
    </row>
    <row r="666" spans="1:15" x14ac:dyDescent="0.3">
      <c r="A666" t="s">
        <v>1793</v>
      </c>
      <c r="B666" t="s">
        <v>1950</v>
      </c>
      <c r="C666" t="s">
        <v>1959</v>
      </c>
      <c r="D666">
        <v>70</v>
      </c>
      <c r="E666" t="s">
        <v>1447</v>
      </c>
      <c r="F666" t="s">
        <v>1961</v>
      </c>
      <c r="G666" t="s">
        <v>1797</v>
      </c>
      <c r="H666" t="s">
        <v>2031</v>
      </c>
      <c r="I666" t="s">
        <v>1799</v>
      </c>
      <c r="J666" t="s">
        <v>1799</v>
      </c>
      <c r="K666" t="s">
        <v>1799</v>
      </c>
      <c r="L666" t="s">
        <v>1799</v>
      </c>
      <c r="M666" t="s">
        <v>1799</v>
      </c>
      <c r="N666" t="s">
        <v>1799</v>
      </c>
      <c r="O666" s="184" t="str">
        <f>"["&amp;$C666&amp;"]["&amp;$D666&amp;"]["&amp;$F666&amp;"]"</f>
        <v>[S05_DefaultValues][70][FuelMaterialType]</v>
      </c>
    </row>
    <row r="667" spans="1:15" x14ac:dyDescent="0.3">
      <c r="A667" t="s">
        <v>1793</v>
      </c>
      <c r="B667" t="s">
        <v>1950</v>
      </c>
      <c r="C667" t="s">
        <v>1959</v>
      </c>
      <c r="D667">
        <v>71</v>
      </c>
      <c r="E667" t="s">
        <v>1447</v>
      </c>
      <c r="F667" t="s">
        <v>1961</v>
      </c>
      <c r="G667" t="s">
        <v>1797</v>
      </c>
      <c r="H667" t="s">
        <v>2032</v>
      </c>
      <c r="I667" t="s">
        <v>1799</v>
      </c>
      <c r="J667" t="s">
        <v>1799</v>
      </c>
      <c r="K667" t="s">
        <v>1799</v>
      </c>
      <c r="L667" t="s">
        <v>1799</v>
      </c>
      <c r="M667" t="s">
        <v>1799</v>
      </c>
      <c r="N667" t="s">
        <v>1799</v>
      </c>
      <c r="O667" s="184" t="str">
        <f>"["&amp;$C667&amp;"]["&amp;$D667&amp;"]["&amp;$F667&amp;"]"</f>
        <v>[S05_DefaultValues][71][FuelMaterialType]</v>
      </c>
    </row>
    <row r="668" spans="1:15" x14ac:dyDescent="0.3">
      <c r="A668" t="s">
        <v>1793</v>
      </c>
      <c r="B668" t="s">
        <v>1950</v>
      </c>
      <c r="C668" t="s">
        <v>1959</v>
      </c>
      <c r="D668">
        <v>72</v>
      </c>
      <c r="E668" t="s">
        <v>1447</v>
      </c>
      <c r="F668" t="s">
        <v>1961</v>
      </c>
      <c r="G668" t="s">
        <v>1797</v>
      </c>
      <c r="H668" t="s">
        <v>2033</v>
      </c>
      <c r="I668" t="s">
        <v>1799</v>
      </c>
      <c r="J668" t="s">
        <v>1799</v>
      </c>
      <c r="K668" t="s">
        <v>1799</v>
      </c>
      <c r="L668" t="s">
        <v>1799</v>
      </c>
      <c r="M668" t="s">
        <v>1799</v>
      </c>
      <c r="N668" t="s">
        <v>1799</v>
      </c>
      <c r="O668" s="184" t="str">
        <f>"["&amp;$C668&amp;"]["&amp;$D668&amp;"]["&amp;$F668&amp;"]"</f>
        <v>[S05_DefaultValues][72][FuelMaterialType]</v>
      </c>
    </row>
    <row r="669" spans="1:15" x14ac:dyDescent="0.3">
      <c r="A669" t="s">
        <v>1793</v>
      </c>
      <c r="B669" t="s">
        <v>1950</v>
      </c>
      <c r="C669" t="s">
        <v>1959</v>
      </c>
      <c r="D669">
        <v>73</v>
      </c>
      <c r="E669" t="s">
        <v>1447</v>
      </c>
      <c r="F669" t="s">
        <v>1961</v>
      </c>
      <c r="G669" t="s">
        <v>1797</v>
      </c>
      <c r="H669" t="s">
        <v>2034</v>
      </c>
      <c r="I669" t="s">
        <v>1799</v>
      </c>
      <c r="J669" t="s">
        <v>1799</v>
      </c>
      <c r="K669" t="s">
        <v>1799</v>
      </c>
      <c r="L669" t="s">
        <v>1799</v>
      </c>
      <c r="M669" t="s">
        <v>1799</v>
      </c>
      <c r="N669" t="s">
        <v>1799</v>
      </c>
      <c r="O669" s="184" t="str">
        <f>"["&amp;$C669&amp;"]["&amp;$D669&amp;"]["&amp;$F669&amp;"]"</f>
        <v>[S05_DefaultValues][73][FuelMaterialType]</v>
      </c>
    </row>
    <row r="670" spans="1:15" x14ac:dyDescent="0.3">
      <c r="A670" t="s">
        <v>1793</v>
      </c>
      <c r="B670" t="s">
        <v>1950</v>
      </c>
      <c r="C670" t="s">
        <v>1959</v>
      </c>
      <c r="D670">
        <v>74</v>
      </c>
      <c r="E670" t="s">
        <v>1447</v>
      </c>
      <c r="F670" t="s">
        <v>1961</v>
      </c>
      <c r="G670" t="s">
        <v>1797</v>
      </c>
      <c r="H670" t="s">
        <v>2035</v>
      </c>
      <c r="I670" t="s">
        <v>1799</v>
      </c>
      <c r="J670" t="s">
        <v>1799</v>
      </c>
      <c r="K670" t="s">
        <v>1799</v>
      </c>
      <c r="L670" t="s">
        <v>1799</v>
      </c>
      <c r="M670" t="s">
        <v>1799</v>
      </c>
      <c r="N670" t="s">
        <v>1799</v>
      </c>
      <c r="O670" s="184" t="str">
        <f>"["&amp;$C670&amp;"]["&amp;$D670&amp;"]["&amp;$F670&amp;"]"</f>
        <v>[S05_DefaultValues][74][FuelMaterialType]</v>
      </c>
    </row>
    <row r="671" spans="1:15" x14ac:dyDescent="0.3">
      <c r="A671" t="s">
        <v>1793</v>
      </c>
      <c r="B671" t="s">
        <v>1950</v>
      </c>
      <c r="C671" t="s">
        <v>1959</v>
      </c>
      <c r="D671">
        <v>75</v>
      </c>
      <c r="E671" t="s">
        <v>1447</v>
      </c>
      <c r="F671" t="s">
        <v>1961</v>
      </c>
      <c r="G671" t="s">
        <v>1797</v>
      </c>
      <c r="H671" t="s">
        <v>2036</v>
      </c>
      <c r="I671" t="s">
        <v>1799</v>
      </c>
      <c r="J671" t="s">
        <v>1799</v>
      </c>
      <c r="K671" t="s">
        <v>1799</v>
      </c>
      <c r="L671" t="s">
        <v>1799</v>
      </c>
      <c r="M671" t="s">
        <v>1799</v>
      </c>
      <c r="N671" t="s">
        <v>1799</v>
      </c>
      <c r="O671" s="184" t="str">
        <f>"["&amp;$C671&amp;"]["&amp;$D671&amp;"]["&amp;$F671&amp;"]"</f>
        <v>[S05_DefaultValues][75][FuelMaterialType]</v>
      </c>
    </row>
    <row r="672" spans="1:15" x14ac:dyDescent="0.3">
      <c r="A672" t="s">
        <v>1793</v>
      </c>
      <c r="B672" t="s">
        <v>1950</v>
      </c>
      <c r="C672" t="s">
        <v>1959</v>
      </c>
      <c r="D672">
        <v>76</v>
      </c>
      <c r="E672" t="s">
        <v>1447</v>
      </c>
      <c r="F672" t="s">
        <v>1961</v>
      </c>
      <c r="G672" t="s">
        <v>1797</v>
      </c>
      <c r="H672" t="s">
        <v>2037</v>
      </c>
      <c r="I672" t="s">
        <v>1799</v>
      </c>
      <c r="J672" t="s">
        <v>1799</v>
      </c>
      <c r="K672" t="s">
        <v>1799</v>
      </c>
      <c r="L672" t="s">
        <v>1799</v>
      </c>
      <c r="M672" t="s">
        <v>1799</v>
      </c>
      <c r="N672" t="s">
        <v>1799</v>
      </c>
      <c r="O672" s="184" t="str">
        <f>"["&amp;$C672&amp;"]["&amp;$D672&amp;"]["&amp;$F672&amp;"]"</f>
        <v>[S05_DefaultValues][76][FuelMaterialType]</v>
      </c>
    </row>
    <row r="673" spans="1:15" x14ac:dyDescent="0.3">
      <c r="A673" t="s">
        <v>1793</v>
      </c>
      <c r="B673" t="s">
        <v>1950</v>
      </c>
      <c r="C673" t="s">
        <v>1959</v>
      </c>
      <c r="D673">
        <v>77</v>
      </c>
      <c r="E673" t="s">
        <v>1447</v>
      </c>
      <c r="F673" t="s">
        <v>1961</v>
      </c>
      <c r="G673" t="s">
        <v>1797</v>
      </c>
      <c r="H673" t="s">
        <v>2038</v>
      </c>
      <c r="I673" t="s">
        <v>1799</v>
      </c>
      <c r="J673" t="s">
        <v>1799</v>
      </c>
      <c r="K673" t="s">
        <v>1799</v>
      </c>
      <c r="L673" t="s">
        <v>1799</v>
      </c>
      <c r="M673" t="s">
        <v>1799</v>
      </c>
      <c r="N673" t="s">
        <v>1799</v>
      </c>
      <c r="O673" s="184" t="str">
        <f>"["&amp;$C673&amp;"]["&amp;$D673&amp;"]["&amp;$F673&amp;"]"</f>
        <v>[S05_DefaultValues][77][FuelMaterialType]</v>
      </c>
    </row>
    <row r="674" spans="1:15" x14ac:dyDescent="0.3">
      <c r="A674" t="s">
        <v>1793</v>
      </c>
      <c r="B674" t="s">
        <v>1950</v>
      </c>
      <c r="C674" t="s">
        <v>1959</v>
      </c>
      <c r="D674">
        <v>78</v>
      </c>
      <c r="E674" t="s">
        <v>1447</v>
      </c>
      <c r="F674" t="s">
        <v>1961</v>
      </c>
      <c r="G674" t="s">
        <v>1797</v>
      </c>
      <c r="H674" t="s">
        <v>2039</v>
      </c>
      <c r="I674" t="s">
        <v>1799</v>
      </c>
      <c r="J674" t="s">
        <v>1799</v>
      </c>
      <c r="K674" t="s">
        <v>1799</v>
      </c>
      <c r="L674" t="s">
        <v>1799</v>
      </c>
      <c r="M674" t="s">
        <v>1799</v>
      </c>
      <c r="N674" t="s">
        <v>1799</v>
      </c>
      <c r="O674" s="184" t="str">
        <f>"["&amp;$C674&amp;"]["&amp;$D674&amp;"]["&amp;$F674&amp;"]"</f>
        <v>[S05_DefaultValues][78][FuelMaterialType]</v>
      </c>
    </row>
    <row r="675" spans="1:15" x14ac:dyDescent="0.3">
      <c r="A675" t="s">
        <v>1793</v>
      </c>
      <c r="B675" t="s">
        <v>1950</v>
      </c>
      <c r="C675" t="s">
        <v>1959</v>
      </c>
      <c r="D675">
        <v>79</v>
      </c>
      <c r="E675" t="s">
        <v>1447</v>
      </c>
      <c r="F675" t="s">
        <v>1961</v>
      </c>
      <c r="G675" t="s">
        <v>1797</v>
      </c>
      <c r="H675" t="s">
        <v>2040</v>
      </c>
      <c r="I675" t="s">
        <v>1799</v>
      </c>
      <c r="J675" t="s">
        <v>1799</v>
      </c>
      <c r="K675" t="s">
        <v>1799</v>
      </c>
      <c r="L675" t="s">
        <v>1799</v>
      </c>
      <c r="M675" t="s">
        <v>1799</v>
      </c>
      <c r="N675" t="s">
        <v>1799</v>
      </c>
      <c r="O675" s="184" t="str">
        <f>"["&amp;$C675&amp;"]["&amp;$D675&amp;"]["&amp;$F675&amp;"]"</f>
        <v>[S05_DefaultValues][79][FuelMaterialType]</v>
      </c>
    </row>
    <row r="676" spans="1:15" x14ac:dyDescent="0.3">
      <c r="A676" t="s">
        <v>1793</v>
      </c>
      <c r="B676" t="s">
        <v>1950</v>
      </c>
      <c r="C676" t="s">
        <v>1959</v>
      </c>
      <c r="D676">
        <v>80</v>
      </c>
      <c r="E676" t="s">
        <v>1447</v>
      </c>
      <c r="F676" t="s">
        <v>1961</v>
      </c>
      <c r="G676" t="s">
        <v>1797</v>
      </c>
      <c r="H676" t="s">
        <v>2041</v>
      </c>
      <c r="I676" t="s">
        <v>1799</v>
      </c>
      <c r="J676" t="s">
        <v>1799</v>
      </c>
      <c r="K676" t="s">
        <v>1799</v>
      </c>
      <c r="L676" t="s">
        <v>1799</v>
      </c>
      <c r="M676" t="s">
        <v>1799</v>
      </c>
      <c r="N676" t="s">
        <v>1799</v>
      </c>
      <c r="O676" s="184" t="str">
        <f>"["&amp;$C676&amp;"]["&amp;$D676&amp;"]["&amp;$F676&amp;"]"</f>
        <v>[S05_DefaultValues][80][FuelMaterialType]</v>
      </c>
    </row>
    <row r="677" spans="1:15" x14ac:dyDescent="0.3">
      <c r="A677" t="s">
        <v>1793</v>
      </c>
      <c r="B677" t="s">
        <v>1950</v>
      </c>
      <c r="C677" t="s">
        <v>1959</v>
      </c>
      <c r="D677">
        <v>81</v>
      </c>
      <c r="E677" t="s">
        <v>1447</v>
      </c>
      <c r="F677" t="s">
        <v>1961</v>
      </c>
      <c r="G677" t="s">
        <v>1797</v>
      </c>
      <c r="H677" t="s">
        <v>2042</v>
      </c>
      <c r="I677" t="s">
        <v>1799</v>
      </c>
      <c r="J677" t="s">
        <v>1799</v>
      </c>
      <c r="K677" t="s">
        <v>1799</v>
      </c>
      <c r="L677" t="s">
        <v>1799</v>
      </c>
      <c r="M677" t="s">
        <v>1799</v>
      </c>
      <c r="N677" t="s">
        <v>1799</v>
      </c>
      <c r="O677" s="184" t="str">
        <f>"["&amp;$C677&amp;"]["&amp;$D677&amp;"]["&amp;$F677&amp;"]"</f>
        <v>[S05_DefaultValues][81][FuelMaterialType]</v>
      </c>
    </row>
    <row r="678" spans="1:15" x14ac:dyDescent="0.3">
      <c r="A678" t="s">
        <v>1793</v>
      </c>
      <c r="B678" t="s">
        <v>1950</v>
      </c>
      <c r="C678" t="s">
        <v>1959</v>
      </c>
      <c r="D678">
        <v>82</v>
      </c>
      <c r="E678" t="s">
        <v>1447</v>
      </c>
      <c r="F678" t="s">
        <v>1961</v>
      </c>
      <c r="G678" t="s">
        <v>1797</v>
      </c>
      <c r="H678" t="s">
        <v>2043</v>
      </c>
      <c r="I678" t="s">
        <v>1799</v>
      </c>
      <c r="J678" t="s">
        <v>1799</v>
      </c>
      <c r="K678" t="s">
        <v>1799</v>
      </c>
      <c r="L678" t="s">
        <v>1799</v>
      </c>
      <c r="M678" t="s">
        <v>1799</v>
      </c>
      <c r="N678" t="s">
        <v>1799</v>
      </c>
      <c r="O678" s="184" t="str">
        <f>"["&amp;$C678&amp;"]["&amp;$D678&amp;"]["&amp;$F678&amp;"]"</f>
        <v>[S05_DefaultValues][82][FuelMaterialType]</v>
      </c>
    </row>
    <row r="679" spans="1:15" x14ac:dyDescent="0.3">
      <c r="A679" t="s">
        <v>1793</v>
      </c>
      <c r="B679" t="s">
        <v>1950</v>
      </c>
      <c r="C679" t="s">
        <v>1959</v>
      </c>
      <c r="D679">
        <v>83</v>
      </c>
      <c r="E679" t="s">
        <v>1447</v>
      </c>
      <c r="F679" t="s">
        <v>1961</v>
      </c>
      <c r="G679" t="s">
        <v>1797</v>
      </c>
      <c r="H679" t="s">
        <v>2044</v>
      </c>
      <c r="I679" t="s">
        <v>1799</v>
      </c>
      <c r="J679" t="s">
        <v>1799</v>
      </c>
      <c r="K679" t="s">
        <v>1799</v>
      </c>
      <c r="L679" t="s">
        <v>1799</v>
      </c>
      <c r="M679" t="s">
        <v>1799</v>
      </c>
      <c r="N679" t="s">
        <v>1799</v>
      </c>
      <c r="O679" s="184" t="str">
        <f>"["&amp;$C679&amp;"]["&amp;$D679&amp;"]["&amp;$F679&amp;"]"</f>
        <v>[S05_DefaultValues][83][FuelMaterialType]</v>
      </c>
    </row>
    <row r="680" spans="1:15" x14ac:dyDescent="0.3">
      <c r="A680" t="s">
        <v>1793</v>
      </c>
      <c r="B680" t="s">
        <v>1950</v>
      </c>
      <c r="C680" t="s">
        <v>1959</v>
      </c>
      <c r="D680">
        <v>84</v>
      </c>
      <c r="E680" t="s">
        <v>1447</v>
      </c>
      <c r="F680" t="s">
        <v>1961</v>
      </c>
      <c r="G680" t="s">
        <v>1797</v>
      </c>
      <c r="H680" t="s">
        <v>2045</v>
      </c>
      <c r="I680" t="s">
        <v>1799</v>
      </c>
      <c r="J680" t="s">
        <v>1799</v>
      </c>
      <c r="K680" t="s">
        <v>1799</v>
      </c>
      <c r="L680" t="s">
        <v>1799</v>
      </c>
      <c r="M680" t="s">
        <v>1799</v>
      </c>
      <c r="N680" t="s">
        <v>1799</v>
      </c>
      <c r="O680" s="184" t="str">
        <f>"["&amp;$C680&amp;"]["&amp;$D680&amp;"]["&amp;$F680&amp;"]"</f>
        <v>[S05_DefaultValues][84][FuelMaterialType]</v>
      </c>
    </row>
    <row r="681" spans="1:15" x14ac:dyDescent="0.3">
      <c r="A681" t="s">
        <v>1793</v>
      </c>
      <c r="B681" t="s">
        <v>1950</v>
      </c>
      <c r="C681" t="s">
        <v>1959</v>
      </c>
      <c r="D681">
        <v>85</v>
      </c>
      <c r="E681" t="s">
        <v>1447</v>
      </c>
      <c r="F681" t="s">
        <v>1961</v>
      </c>
      <c r="G681" t="s">
        <v>1797</v>
      </c>
      <c r="H681" t="s">
        <v>2046</v>
      </c>
      <c r="I681" t="s">
        <v>1799</v>
      </c>
      <c r="J681" t="s">
        <v>1799</v>
      </c>
      <c r="K681" t="s">
        <v>1799</v>
      </c>
      <c r="L681" t="s">
        <v>1799</v>
      </c>
      <c r="M681" t="s">
        <v>1799</v>
      </c>
      <c r="N681" t="s">
        <v>1799</v>
      </c>
      <c r="O681" s="184" t="str">
        <f>"["&amp;$C681&amp;"]["&amp;$D681&amp;"]["&amp;$F681&amp;"]"</f>
        <v>[S05_DefaultValues][85][FuelMaterialType]</v>
      </c>
    </row>
    <row r="682" spans="1:15" x14ac:dyDescent="0.3">
      <c r="A682" t="s">
        <v>1793</v>
      </c>
      <c r="B682" t="s">
        <v>1950</v>
      </c>
      <c r="C682" t="s">
        <v>1959</v>
      </c>
      <c r="D682">
        <v>86</v>
      </c>
      <c r="E682" t="s">
        <v>1447</v>
      </c>
      <c r="F682" t="s">
        <v>1961</v>
      </c>
      <c r="G682" t="s">
        <v>1797</v>
      </c>
      <c r="H682" t="s">
        <v>2047</v>
      </c>
      <c r="I682" t="s">
        <v>1799</v>
      </c>
      <c r="J682" t="s">
        <v>1799</v>
      </c>
      <c r="K682" t="s">
        <v>1799</v>
      </c>
      <c r="L682" t="s">
        <v>1799</v>
      </c>
      <c r="M682" t="s">
        <v>1799</v>
      </c>
      <c r="N682" t="s">
        <v>1799</v>
      </c>
      <c r="O682" s="184" t="str">
        <f>"["&amp;$C682&amp;"]["&amp;$D682&amp;"]["&amp;$F682&amp;"]"</f>
        <v>[S05_DefaultValues][86][FuelMaterialType]</v>
      </c>
    </row>
    <row r="683" spans="1:15" x14ac:dyDescent="0.3">
      <c r="A683" t="s">
        <v>1793</v>
      </c>
      <c r="B683" t="s">
        <v>1950</v>
      </c>
      <c r="C683" t="s">
        <v>1959</v>
      </c>
      <c r="D683">
        <v>87</v>
      </c>
      <c r="E683" t="s">
        <v>1447</v>
      </c>
      <c r="F683" t="s">
        <v>1961</v>
      </c>
      <c r="G683" t="s">
        <v>1797</v>
      </c>
      <c r="H683" t="s">
        <v>1964</v>
      </c>
      <c r="I683" t="s">
        <v>1799</v>
      </c>
      <c r="J683" t="s">
        <v>1799</v>
      </c>
      <c r="K683" t="s">
        <v>1799</v>
      </c>
      <c r="L683" t="s">
        <v>1799</v>
      </c>
      <c r="M683" t="s">
        <v>1799</v>
      </c>
      <c r="N683" t="s">
        <v>1799</v>
      </c>
      <c r="O683" s="184" t="str">
        <f>"["&amp;$C683&amp;"]["&amp;$D683&amp;"]["&amp;$F683&amp;"]"</f>
        <v>[S05_DefaultValues][87][FuelMaterialType]</v>
      </c>
    </row>
    <row r="684" spans="1:15" x14ac:dyDescent="0.3">
      <c r="A684" t="s">
        <v>1793</v>
      </c>
      <c r="B684" t="s">
        <v>1950</v>
      </c>
      <c r="C684" t="s">
        <v>1959</v>
      </c>
      <c r="D684">
        <v>88</v>
      </c>
      <c r="E684" t="s">
        <v>1447</v>
      </c>
      <c r="F684" t="s">
        <v>1961</v>
      </c>
      <c r="G684" t="s">
        <v>1797</v>
      </c>
      <c r="H684" t="s">
        <v>1965</v>
      </c>
      <c r="I684" t="s">
        <v>1799</v>
      </c>
      <c r="J684" t="s">
        <v>1799</v>
      </c>
      <c r="K684" t="s">
        <v>1799</v>
      </c>
      <c r="L684" t="s">
        <v>1799</v>
      </c>
      <c r="M684" t="s">
        <v>1799</v>
      </c>
      <c r="N684" t="s">
        <v>1799</v>
      </c>
      <c r="O684" s="184" t="str">
        <f>"["&amp;$C684&amp;"]["&amp;$D684&amp;"]["&amp;$F684&amp;"]"</f>
        <v>[S05_DefaultValues][88][FuelMaterialType]</v>
      </c>
    </row>
    <row r="685" spans="1:15" x14ac:dyDescent="0.3">
      <c r="A685" t="s">
        <v>1793</v>
      </c>
      <c r="B685" t="s">
        <v>1950</v>
      </c>
      <c r="C685" t="s">
        <v>1959</v>
      </c>
      <c r="D685">
        <v>89</v>
      </c>
      <c r="E685" t="s">
        <v>1447</v>
      </c>
      <c r="F685" t="s">
        <v>1961</v>
      </c>
      <c r="G685" t="s">
        <v>1797</v>
      </c>
      <c r="H685" t="s">
        <v>1966</v>
      </c>
      <c r="I685" t="s">
        <v>1799</v>
      </c>
      <c r="J685" t="s">
        <v>1799</v>
      </c>
      <c r="K685" t="s">
        <v>1799</v>
      </c>
      <c r="L685" t="s">
        <v>1799</v>
      </c>
      <c r="M685" t="s">
        <v>1799</v>
      </c>
      <c r="N685" t="s">
        <v>1799</v>
      </c>
      <c r="O685" s="184" t="str">
        <f>"["&amp;$C685&amp;"]["&amp;$D685&amp;"]["&amp;$F685&amp;"]"</f>
        <v>[S05_DefaultValues][89][FuelMaterialType]</v>
      </c>
    </row>
    <row r="686" spans="1:15" x14ac:dyDescent="0.3">
      <c r="A686" t="s">
        <v>1793</v>
      </c>
      <c r="B686" t="s">
        <v>1950</v>
      </c>
      <c r="C686" t="s">
        <v>1959</v>
      </c>
      <c r="D686">
        <v>90</v>
      </c>
      <c r="E686" t="s">
        <v>1447</v>
      </c>
      <c r="F686" t="s">
        <v>1961</v>
      </c>
      <c r="G686" t="s">
        <v>1797</v>
      </c>
      <c r="H686" t="s">
        <v>1968</v>
      </c>
      <c r="I686" t="s">
        <v>1799</v>
      </c>
      <c r="J686" t="s">
        <v>1799</v>
      </c>
      <c r="K686" t="s">
        <v>1799</v>
      </c>
      <c r="L686" t="s">
        <v>1799</v>
      </c>
      <c r="M686" t="s">
        <v>1799</v>
      </c>
      <c r="N686" t="s">
        <v>1799</v>
      </c>
      <c r="O686" s="184" t="str">
        <f>"["&amp;$C686&amp;"]["&amp;$D686&amp;"]["&amp;$F686&amp;"]"</f>
        <v>[S05_DefaultValues][90][FuelMaterialType]</v>
      </c>
    </row>
    <row r="687" spans="1:15" x14ac:dyDescent="0.3">
      <c r="A687" t="s">
        <v>1793</v>
      </c>
      <c r="B687" t="s">
        <v>1950</v>
      </c>
      <c r="C687" t="s">
        <v>1959</v>
      </c>
      <c r="D687">
        <v>91</v>
      </c>
      <c r="E687" t="s">
        <v>1447</v>
      </c>
      <c r="F687" t="s">
        <v>1961</v>
      </c>
      <c r="G687" t="s">
        <v>1797</v>
      </c>
      <c r="H687" t="s">
        <v>2048</v>
      </c>
      <c r="I687" t="s">
        <v>1799</v>
      </c>
      <c r="J687" t="s">
        <v>1799</v>
      </c>
      <c r="K687" t="s">
        <v>1799</v>
      </c>
      <c r="L687" t="s">
        <v>1799</v>
      </c>
      <c r="M687" t="s">
        <v>1799</v>
      </c>
      <c r="N687" t="s">
        <v>1799</v>
      </c>
      <c r="O687" s="184" t="str">
        <f>"["&amp;$C687&amp;"]["&amp;$D687&amp;"]["&amp;$F687&amp;"]"</f>
        <v>[S05_DefaultValues][91][FuelMaterialType]</v>
      </c>
    </row>
    <row r="688" spans="1:15" x14ac:dyDescent="0.3">
      <c r="A688" t="s">
        <v>1793</v>
      </c>
      <c r="B688" t="s">
        <v>1950</v>
      </c>
      <c r="C688" t="s">
        <v>1959</v>
      </c>
      <c r="D688">
        <v>92</v>
      </c>
      <c r="E688" t="s">
        <v>1447</v>
      </c>
      <c r="F688" t="s">
        <v>1961</v>
      </c>
      <c r="G688" t="s">
        <v>1797</v>
      </c>
      <c r="H688" t="s">
        <v>1969</v>
      </c>
      <c r="I688" t="s">
        <v>1799</v>
      </c>
      <c r="J688" t="s">
        <v>1799</v>
      </c>
      <c r="K688" t="s">
        <v>1799</v>
      </c>
      <c r="L688" t="s">
        <v>1799</v>
      </c>
      <c r="M688" t="s">
        <v>1799</v>
      </c>
      <c r="N688" t="s">
        <v>1799</v>
      </c>
      <c r="O688" s="184" t="str">
        <f>"["&amp;$C688&amp;"]["&amp;$D688&amp;"]["&amp;$F688&amp;"]"</f>
        <v>[S05_DefaultValues][92][FuelMaterialType]</v>
      </c>
    </row>
    <row r="689" spans="1:15" x14ac:dyDescent="0.3">
      <c r="A689" t="s">
        <v>1793</v>
      </c>
      <c r="B689" t="s">
        <v>1950</v>
      </c>
      <c r="C689" t="s">
        <v>1959</v>
      </c>
      <c r="D689">
        <v>93</v>
      </c>
      <c r="E689" t="s">
        <v>1447</v>
      </c>
      <c r="F689" t="s">
        <v>1961</v>
      </c>
      <c r="G689" t="s">
        <v>1797</v>
      </c>
      <c r="H689" t="s">
        <v>1970</v>
      </c>
      <c r="I689" t="s">
        <v>1799</v>
      </c>
      <c r="J689" t="s">
        <v>1799</v>
      </c>
      <c r="K689" t="s">
        <v>1799</v>
      </c>
      <c r="L689" t="s">
        <v>1799</v>
      </c>
      <c r="M689" t="s">
        <v>1799</v>
      </c>
      <c r="N689" t="s">
        <v>1799</v>
      </c>
      <c r="O689" s="184" t="str">
        <f>"["&amp;$C689&amp;"]["&amp;$D689&amp;"]["&amp;$F689&amp;"]"</f>
        <v>[S05_DefaultValues][93][FuelMaterialType]</v>
      </c>
    </row>
    <row r="690" spans="1:15" x14ac:dyDescent="0.3">
      <c r="A690" t="s">
        <v>1793</v>
      </c>
      <c r="B690" t="s">
        <v>1950</v>
      </c>
      <c r="C690" t="s">
        <v>1959</v>
      </c>
      <c r="D690">
        <v>94</v>
      </c>
      <c r="E690" t="s">
        <v>1447</v>
      </c>
      <c r="F690" t="s">
        <v>1961</v>
      </c>
      <c r="G690" t="s">
        <v>1797</v>
      </c>
      <c r="H690" t="s">
        <v>1971</v>
      </c>
      <c r="I690" t="s">
        <v>1799</v>
      </c>
      <c r="J690" t="s">
        <v>1799</v>
      </c>
      <c r="K690" t="s">
        <v>1799</v>
      </c>
      <c r="L690" t="s">
        <v>1799</v>
      </c>
      <c r="M690" t="s">
        <v>1799</v>
      </c>
      <c r="N690" t="s">
        <v>1799</v>
      </c>
      <c r="O690" s="184" t="str">
        <f>"["&amp;$C690&amp;"]["&amp;$D690&amp;"]["&amp;$F690&amp;"]"</f>
        <v>[S05_DefaultValues][94][FuelMaterialType]</v>
      </c>
    </row>
    <row r="691" spans="1:15" x14ac:dyDescent="0.3">
      <c r="A691" t="s">
        <v>1793</v>
      </c>
      <c r="B691" t="s">
        <v>1950</v>
      </c>
      <c r="C691" t="s">
        <v>1959</v>
      </c>
      <c r="D691">
        <v>95</v>
      </c>
      <c r="E691" t="s">
        <v>1447</v>
      </c>
      <c r="F691" t="s">
        <v>1961</v>
      </c>
      <c r="G691" t="s">
        <v>1797</v>
      </c>
      <c r="H691" t="s">
        <v>1972</v>
      </c>
      <c r="I691" t="s">
        <v>1799</v>
      </c>
      <c r="J691" t="s">
        <v>1799</v>
      </c>
      <c r="K691" t="s">
        <v>1799</v>
      </c>
      <c r="L691" t="s">
        <v>1799</v>
      </c>
      <c r="M691" t="s">
        <v>1799</v>
      </c>
      <c r="N691" t="s">
        <v>1799</v>
      </c>
      <c r="O691" s="184" t="str">
        <f>"["&amp;$C691&amp;"]["&amp;$D691&amp;"]["&amp;$F691&amp;"]"</f>
        <v>[S05_DefaultValues][95][FuelMaterialType]</v>
      </c>
    </row>
    <row r="692" spans="1:15" x14ac:dyDescent="0.3">
      <c r="A692" t="s">
        <v>1793</v>
      </c>
      <c r="B692" t="s">
        <v>1950</v>
      </c>
      <c r="C692" t="s">
        <v>1959</v>
      </c>
      <c r="D692">
        <v>96</v>
      </c>
      <c r="E692" t="s">
        <v>1447</v>
      </c>
      <c r="F692" t="s">
        <v>1961</v>
      </c>
      <c r="G692" t="s">
        <v>1797</v>
      </c>
      <c r="H692" t="s">
        <v>1978</v>
      </c>
      <c r="I692" t="s">
        <v>1799</v>
      </c>
      <c r="J692" t="s">
        <v>1799</v>
      </c>
      <c r="K692" t="s">
        <v>1799</v>
      </c>
      <c r="L692" t="s">
        <v>1799</v>
      </c>
      <c r="M692" t="s">
        <v>1799</v>
      </c>
      <c r="N692" t="s">
        <v>1799</v>
      </c>
      <c r="O692" s="184" t="str">
        <f>"["&amp;$C692&amp;"]["&amp;$D692&amp;"]["&amp;$F692&amp;"]"</f>
        <v>[S05_DefaultValues][96][FuelMaterialType]</v>
      </c>
    </row>
    <row r="693" spans="1:15" x14ac:dyDescent="0.3">
      <c r="A693" t="s">
        <v>1793</v>
      </c>
      <c r="B693" t="s">
        <v>1950</v>
      </c>
      <c r="C693" t="s">
        <v>1959</v>
      </c>
      <c r="D693">
        <v>97</v>
      </c>
      <c r="E693" t="s">
        <v>1447</v>
      </c>
      <c r="F693" t="s">
        <v>1961</v>
      </c>
      <c r="G693" t="s">
        <v>1797</v>
      </c>
      <c r="H693" t="s">
        <v>2049</v>
      </c>
      <c r="I693" t="s">
        <v>1799</v>
      </c>
      <c r="J693" t="s">
        <v>1799</v>
      </c>
      <c r="K693" t="s">
        <v>1799</v>
      </c>
      <c r="L693" t="s">
        <v>1799</v>
      </c>
      <c r="M693" t="s">
        <v>1799</v>
      </c>
      <c r="N693" t="s">
        <v>1799</v>
      </c>
      <c r="O693" s="184" t="str">
        <f>"["&amp;$C693&amp;"]["&amp;$D693&amp;"]["&amp;$F693&amp;"]"</f>
        <v>[S05_DefaultValues][97][FuelMaterialType]</v>
      </c>
    </row>
    <row r="694" spans="1:15" x14ac:dyDescent="0.3">
      <c r="A694" t="s">
        <v>1793</v>
      </c>
      <c r="B694" t="s">
        <v>1950</v>
      </c>
      <c r="C694" t="s">
        <v>1959</v>
      </c>
      <c r="D694">
        <v>98</v>
      </c>
      <c r="E694" t="s">
        <v>1447</v>
      </c>
      <c r="F694" t="s">
        <v>1961</v>
      </c>
      <c r="G694" t="s">
        <v>1797</v>
      </c>
      <c r="H694" t="s">
        <v>1980</v>
      </c>
      <c r="I694" t="s">
        <v>1799</v>
      </c>
      <c r="J694" t="s">
        <v>1799</v>
      </c>
      <c r="K694" t="s">
        <v>1799</v>
      </c>
      <c r="L694" t="s">
        <v>1799</v>
      </c>
      <c r="M694" t="s">
        <v>1799</v>
      </c>
      <c r="N694" t="s">
        <v>1799</v>
      </c>
      <c r="O694" s="184" t="str">
        <f>"["&amp;$C694&amp;"]["&amp;$D694&amp;"]["&amp;$F694&amp;"]"</f>
        <v>[S05_DefaultValues][98][FuelMaterialType]</v>
      </c>
    </row>
    <row r="695" spans="1:15" x14ac:dyDescent="0.3">
      <c r="A695" t="s">
        <v>1793</v>
      </c>
      <c r="B695" t="s">
        <v>1950</v>
      </c>
      <c r="C695" t="s">
        <v>1959</v>
      </c>
      <c r="D695">
        <v>99</v>
      </c>
      <c r="E695" t="s">
        <v>1447</v>
      </c>
      <c r="F695" t="s">
        <v>1961</v>
      </c>
      <c r="G695" t="s">
        <v>1797</v>
      </c>
      <c r="H695" t="s">
        <v>1981</v>
      </c>
      <c r="I695" t="s">
        <v>1799</v>
      </c>
      <c r="J695" t="s">
        <v>1799</v>
      </c>
      <c r="K695" t="s">
        <v>1799</v>
      </c>
      <c r="L695" t="s">
        <v>1799</v>
      </c>
      <c r="M695" t="s">
        <v>1799</v>
      </c>
      <c r="N695" t="s">
        <v>1799</v>
      </c>
      <c r="O695" s="184" t="str">
        <f>"["&amp;$C695&amp;"]["&amp;$D695&amp;"]["&amp;$F695&amp;"]"</f>
        <v>[S05_DefaultValues][99][FuelMaterialType]</v>
      </c>
    </row>
    <row r="696" spans="1:15" x14ac:dyDescent="0.3">
      <c r="A696" t="s">
        <v>1793</v>
      </c>
      <c r="B696" t="s">
        <v>1950</v>
      </c>
      <c r="C696" t="s">
        <v>1959</v>
      </c>
      <c r="D696">
        <v>100</v>
      </c>
      <c r="E696" t="s">
        <v>1447</v>
      </c>
      <c r="F696" t="s">
        <v>1961</v>
      </c>
      <c r="G696" t="s">
        <v>1797</v>
      </c>
      <c r="H696" t="s">
        <v>2050</v>
      </c>
      <c r="I696" t="s">
        <v>1799</v>
      </c>
      <c r="J696" t="s">
        <v>1799</v>
      </c>
      <c r="K696" t="s">
        <v>1799</v>
      </c>
      <c r="L696" t="s">
        <v>1799</v>
      </c>
      <c r="M696" t="s">
        <v>1799</v>
      </c>
      <c r="N696" t="s">
        <v>1799</v>
      </c>
      <c r="O696" s="184" t="str">
        <f>"["&amp;$C696&amp;"]["&amp;$D696&amp;"]["&amp;$F696&amp;"]"</f>
        <v>[S05_DefaultValues][100][FuelMaterialType]</v>
      </c>
    </row>
    <row r="697" spans="1:15" x14ac:dyDescent="0.3">
      <c r="A697" t="s">
        <v>1793</v>
      </c>
      <c r="B697" t="s">
        <v>1950</v>
      </c>
      <c r="C697" t="s">
        <v>1959</v>
      </c>
      <c r="D697">
        <v>101</v>
      </c>
      <c r="E697" t="s">
        <v>1447</v>
      </c>
      <c r="F697" t="s">
        <v>1961</v>
      </c>
      <c r="G697" t="s">
        <v>1797</v>
      </c>
      <c r="H697" t="s">
        <v>1982</v>
      </c>
      <c r="I697" t="s">
        <v>1799</v>
      </c>
      <c r="J697" t="s">
        <v>1799</v>
      </c>
      <c r="K697" t="s">
        <v>1799</v>
      </c>
      <c r="L697" t="s">
        <v>1799</v>
      </c>
      <c r="M697" t="s">
        <v>1799</v>
      </c>
      <c r="N697" t="s">
        <v>1799</v>
      </c>
      <c r="O697" s="184" t="str">
        <f>"["&amp;$C697&amp;"]["&amp;$D697&amp;"]["&amp;$F697&amp;"]"</f>
        <v>[S05_DefaultValues][101][FuelMaterialType]</v>
      </c>
    </row>
    <row r="698" spans="1:15" x14ac:dyDescent="0.3">
      <c r="A698" t="s">
        <v>1793</v>
      </c>
      <c r="B698" t="s">
        <v>1950</v>
      </c>
      <c r="C698" t="s">
        <v>1959</v>
      </c>
      <c r="D698">
        <v>102</v>
      </c>
      <c r="E698" t="s">
        <v>1447</v>
      </c>
      <c r="F698" t="s">
        <v>1961</v>
      </c>
      <c r="G698" t="s">
        <v>1797</v>
      </c>
      <c r="H698" t="s">
        <v>1983</v>
      </c>
      <c r="I698" t="s">
        <v>1799</v>
      </c>
      <c r="J698" t="s">
        <v>1799</v>
      </c>
      <c r="K698" t="s">
        <v>1799</v>
      </c>
      <c r="L698" t="s">
        <v>1799</v>
      </c>
      <c r="M698" t="s">
        <v>1799</v>
      </c>
      <c r="N698" t="s">
        <v>1799</v>
      </c>
      <c r="O698" s="184" t="str">
        <f>"["&amp;$C698&amp;"]["&amp;$D698&amp;"]["&amp;$F698&amp;"]"</f>
        <v>[S05_DefaultValues][102][FuelMaterialType]</v>
      </c>
    </row>
    <row r="699" spans="1:15" x14ac:dyDescent="0.3">
      <c r="A699" t="s">
        <v>1793</v>
      </c>
      <c r="B699" t="s">
        <v>1950</v>
      </c>
      <c r="C699" t="s">
        <v>1959</v>
      </c>
      <c r="D699">
        <v>103</v>
      </c>
      <c r="E699" t="s">
        <v>1447</v>
      </c>
      <c r="F699" t="s">
        <v>1961</v>
      </c>
      <c r="G699" t="s">
        <v>1797</v>
      </c>
      <c r="H699" t="s">
        <v>1984</v>
      </c>
      <c r="I699" t="s">
        <v>1799</v>
      </c>
      <c r="J699" t="s">
        <v>1799</v>
      </c>
      <c r="K699" t="s">
        <v>1799</v>
      </c>
      <c r="L699" t="s">
        <v>1799</v>
      </c>
      <c r="M699" t="s">
        <v>1799</v>
      </c>
      <c r="N699" t="s">
        <v>1799</v>
      </c>
      <c r="O699" s="184" t="str">
        <f>"["&amp;$C699&amp;"]["&amp;$D699&amp;"]["&amp;$F699&amp;"]"</f>
        <v>[S05_DefaultValues][103][FuelMaterialType]</v>
      </c>
    </row>
    <row r="700" spans="1:15" x14ac:dyDescent="0.3">
      <c r="A700" t="s">
        <v>1793</v>
      </c>
      <c r="B700" t="s">
        <v>1950</v>
      </c>
      <c r="C700" t="s">
        <v>1959</v>
      </c>
      <c r="D700">
        <v>104</v>
      </c>
      <c r="E700" t="s">
        <v>1447</v>
      </c>
      <c r="F700" t="s">
        <v>1961</v>
      </c>
      <c r="G700" t="s">
        <v>1797</v>
      </c>
      <c r="H700" t="s">
        <v>1986</v>
      </c>
      <c r="I700" t="s">
        <v>1799</v>
      </c>
      <c r="J700" t="s">
        <v>1799</v>
      </c>
      <c r="K700" t="s">
        <v>1799</v>
      </c>
      <c r="L700" t="s">
        <v>1799</v>
      </c>
      <c r="M700" t="s">
        <v>1799</v>
      </c>
      <c r="N700" t="s">
        <v>1799</v>
      </c>
      <c r="O700" s="184" t="str">
        <f>"["&amp;$C700&amp;"]["&amp;$D700&amp;"]["&amp;$F700&amp;"]"</f>
        <v>[S05_DefaultValues][104][FuelMaterialType]</v>
      </c>
    </row>
    <row r="701" spans="1:15" x14ac:dyDescent="0.3">
      <c r="A701" t="s">
        <v>1793</v>
      </c>
      <c r="B701" t="s">
        <v>1950</v>
      </c>
      <c r="C701" t="s">
        <v>1959</v>
      </c>
      <c r="D701">
        <v>105</v>
      </c>
      <c r="E701" t="s">
        <v>1447</v>
      </c>
      <c r="F701" t="s">
        <v>1961</v>
      </c>
      <c r="G701" t="s">
        <v>1797</v>
      </c>
      <c r="H701" t="s">
        <v>1987</v>
      </c>
      <c r="I701" t="s">
        <v>1799</v>
      </c>
      <c r="J701" t="s">
        <v>1799</v>
      </c>
      <c r="K701" t="s">
        <v>1799</v>
      </c>
      <c r="L701" t="s">
        <v>1799</v>
      </c>
      <c r="M701" t="s">
        <v>1799</v>
      </c>
      <c r="N701" t="s">
        <v>1799</v>
      </c>
      <c r="O701" s="184" t="str">
        <f>"["&amp;$C701&amp;"]["&amp;$D701&amp;"]["&amp;$F701&amp;"]"</f>
        <v>[S05_DefaultValues][105][FuelMaterialType]</v>
      </c>
    </row>
    <row r="702" spans="1:15" x14ac:dyDescent="0.3">
      <c r="A702" t="s">
        <v>1793</v>
      </c>
      <c r="B702" t="s">
        <v>1950</v>
      </c>
      <c r="C702" t="s">
        <v>1959</v>
      </c>
      <c r="D702">
        <v>106</v>
      </c>
      <c r="E702" t="s">
        <v>1447</v>
      </c>
      <c r="F702" t="s">
        <v>1961</v>
      </c>
      <c r="G702" t="s">
        <v>1797</v>
      </c>
      <c r="H702" t="s">
        <v>1989</v>
      </c>
      <c r="I702" t="s">
        <v>1799</v>
      </c>
      <c r="J702" t="s">
        <v>1799</v>
      </c>
      <c r="K702" t="s">
        <v>1799</v>
      </c>
      <c r="L702" t="s">
        <v>1799</v>
      </c>
      <c r="M702" t="s">
        <v>1799</v>
      </c>
      <c r="N702" t="s">
        <v>1799</v>
      </c>
      <c r="O702" s="184" t="str">
        <f>"["&amp;$C702&amp;"]["&amp;$D702&amp;"]["&amp;$F702&amp;"]"</f>
        <v>[S05_DefaultValues][106][FuelMaterialType]</v>
      </c>
    </row>
    <row r="703" spans="1:15" x14ac:dyDescent="0.3">
      <c r="A703" t="s">
        <v>1793</v>
      </c>
      <c r="B703" t="s">
        <v>1950</v>
      </c>
      <c r="C703" t="s">
        <v>1959</v>
      </c>
      <c r="D703">
        <v>107</v>
      </c>
      <c r="E703" t="s">
        <v>1447</v>
      </c>
      <c r="F703" t="s">
        <v>1961</v>
      </c>
      <c r="G703" t="s">
        <v>1797</v>
      </c>
      <c r="H703" t="s">
        <v>1990</v>
      </c>
      <c r="I703" t="s">
        <v>1799</v>
      </c>
      <c r="J703" t="s">
        <v>1799</v>
      </c>
      <c r="K703" t="s">
        <v>1799</v>
      </c>
      <c r="L703" t="s">
        <v>1799</v>
      </c>
      <c r="M703" t="s">
        <v>1799</v>
      </c>
      <c r="N703" t="s">
        <v>1799</v>
      </c>
      <c r="O703" s="184" t="str">
        <f>"["&amp;$C703&amp;"]["&amp;$D703&amp;"]["&amp;$F703&amp;"]"</f>
        <v>[S05_DefaultValues][107][FuelMaterialType]</v>
      </c>
    </row>
    <row r="704" spans="1:15" x14ac:dyDescent="0.3">
      <c r="A704" t="s">
        <v>1793</v>
      </c>
      <c r="B704" t="s">
        <v>1950</v>
      </c>
      <c r="C704" t="s">
        <v>1959</v>
      </c>
      <c r="D704">
        <v>108</v>
      </c>
      <c r="E704" t="s">
        <v>1447</v>
      </c>
      <c r="F704" t="s">
        <v>1961</v>
      </c>
      <c r="G704" t="s">
        <v>1797</v>
      </c>
      <c r="H704" t="s">
        <v>1991</v>
      </c>
      <c r="I704" t="s">
        <v>1799</v>
      </c>
      <c r="J704" t="s">
        <v>1799</v>
      </c>
      <c r="K704" t="s">
        <v>1799</v>
      </c>
      <c r="L704" t="s">
        <v>1799</v>
      </c>
      <c r="M704" t="s">
        <v>1799</v>
      </c>
      <c r="N704" t="s">
        <v>1799</v>
      </c>
      <c r="O704" s="184" t="str">
        <f>"["&amp;$C704&amp;"]["&amp;$D704&amp;"]["&amp;$F704&amp;"]"</f>
        <v>[S05_DefaultValues][108][FuelMaterialType]</v>
      </c>
    </row>
    <row r="705" spans="1:15" x14ac:dyDescent="0.3">
      <c r="A705" t="s">
        <v>1793</v>
      </c>
      <c r="B705" t="s">
        <v>1950</v>
      </c>
      <c r="C705" t="s">
        <v>1959</v>
      </c>
      <c r="D705">
        <v>109</v>
      </c>
      <c r="E705" t="s">
        <v>1447</v>
      </c>
      <c r="F705" t="s">
        <v>1961</v>
      </c>
      <c r="G705" t="s">
        <v>1797</v>
      </c>
      <c r="H705" t="s">
        <v>1992</v>
      </c>
      <c r="I705" t="s">
        <v>1799</v>
      </c>
      <c r="J705" t="s">
        <v>1799</v>
      </c>
      <c r="K705" t="s">
        <v>1799</v>
      </c>
      <c r="L705" t="s">
        <v>1799</v>
      </c>
      <c r="M705" t="s">
        <v>1799</v>
      </c>
      <c r="N705" t="s">
        <v>1799</v>
      </c>
      <c r="O705" s="184" t="str">
        <f>"["&amp;$C705&amp;"]["&amp;$D705&amp;"]["&amp;$F705&amp;"]"</f>
        <v>[S05_DefaultValues][109][FuelMaterialType]</v>
      </c>
    </row>
    <row r="706" spans="1:15" x14ac:dyDescent="0.3">
      <c r="A706" t="s">
        <v>1793</v>
      </c>
      <c r="B706" t="s">
        <v>1950</v>
      </c>
      <c r="C706" t="s">
        <v>1959</v>
      </c>
      <c r="D706">
        <v>110</v>
      </c>
      <c r="E706" t="s">
        <v>1447</v>
      </c>
      <c r="F706" t="s">
        <v>1961</v>
      </c>
      <c r="G706" t="s">
        <v>1797</v>
      </c>
      <c r="H706" t="s">
        <v>1993</v>
      </c>
      <c r="I706" t="s">
        <v>1799</v>
      </c>
      <c r="J706" t="s">
        <v>1799</v>
      </c>
      <c r="K706" t="s">
        <v>1799</v>
      </c>
      <c r="L706" t="s">
        <v>1799</v>
      </c>
      <c r="M706" t="s">
        <v>1799</v>
      </c>
      <c r="N706" t="s">
        <v>1799</v>
      </c>
      <c r="O706" s="184" t="str">
        <f>"["&amp;$C706&amp;"]["&amp;$D706&amp;"]["&amp;$F706&amp;"]"</f>
        <v>[S05_DefaultValues][110][FuelMaterialType]</v>
      </c>
    </row>
    <row r="707" spans="1:15" x14ac:dyDescent="0.3">
      <c r="A707" t="s">
        <v>1793</v>
      </c>
      <c r="B707" t="s">
        <v>1950</v>
      </c>
      <c r="C707" t="s">
        <v>1959</v>
      </c>
      <c r="D707">
        <v>111</v>
      </c>
      <c r="E707" t="s">
        <v>1447</v>
      </c>
      <c r="F707" t="s">
        <v>1961</v>
      </c>
      <c r="G707" t="s">
        <v>1797</v>
      </c>
      <c r="H707" t="s">
        <v>1994</v>
      </c>
      <c r="I707" t="s">
        <v>1799</v>
      </c>
      <c r="J707" t="s">
        <v>1799</v>
      </c>
      <c r="K707" t="s">
        <v>1799</v>
      </c>
      <c r="L707" t="s">
        <v>1799</v>
      </c>
      <c r="M707" t="s">
        <v>1799</v>
      </c>
      <c r="N707" t="s">
        <v>1799</v>
      </c>
      <c r="O707" s="184" t="str">
        <f>"["&amp;$C707&amp;"]["&amp;$D707&amp;"]["&amp;$F707&amp;"]"</f>
        <v>[S05_DefaultValues][111][FuelMaterialType]</v>
      </c>
    </row>
    <row r="708" spans="1:15" x14ac:dyDescent="0.3">
      <c r="A708" t="s">
        <v>1793</v>
      </c>
      <c r="B708" t="s">
        <v>1950</v>
      </c>
      <c r="C708" t="s">
        <v>1959</v>
      </c>
      <c r="D708">
        <v>112</v>
      </c>
      <c r="E708" t="s">
        <v>1447</v>
      </c>
      <c r="F708" t="s">
        <v>1961</v>
      </c>
      <c r="G708" t="s">
        <v>1797</v>
      </c>
      <c r="H708" t="s">
        <v>1995</v>
      </c>
      <c r="I708" t="s">
        <v>1799</v>
      </c>
      <c r="J708" t="s">
        <v>1799</v>
      </c>
      <c r="K708" t="s">
        <v>1799</v>
      </c>
      <c r="L708" t="s">
        <v>1799</v>
      </c>
      <c r="M708" t="s">
        <v>1799</v>
      </c>
      <c r="N708" t="s">
        <v>1799</v>
      </c>
      <c r="O708" s="184" t="str">
        <f>"["&amp;$C708&amp;"]["&amp;$D708&amp;"]["&amp;$F708&amp;"]"</f>
        <v>[S05_DefaultValues][112][FuelMaterialType]</v>
      </c>
    </row>
    <row r="709" spans="1:15" x14ac:dyDescent="0.3">
      <c r="A709" t="s">
        <v>1793</v>
      </c>
      <c r="B709" t="s">
        <v>1950</v>
      </c>
      <c r="C709" t="s">
        <v>1959</v>
      </c>
      <c r="D709">
        <v>113</v>
      </c>
      <c r="E709" t="s">
        <v>1447</v>
      </c>
      <c r="F709" t="s">
        <v>1961</v>
      </c>
      <c r="G709" t="s">
        <v>1797</v>
      </c>
      <c r="H709" t="s">
        <v>1996</v>
      </c>
      <c r="I709" t="s">
        <v>1799</v>
      </c>
      <c r="J709" t="s">
        <v>1799</v>
      </c>
      <c r="K709" t="s">
        <v>1799</v>
      </c>
      <c r="L709" t="s">
        <v>1799</v>
      </c>
      <c r="M709" t="s">
        <v>1799</v>
      </c>
      <c r="N709" t="s">
        <v>1799</v>
      </c>
      <c r="O709" s="184" t="str">
        <f>"["&amp;$C709&amp;"]["&amp;$D709&amp;"]["&amp;$F709&amp;"]"</f>
        <v>[S05_DefaultValues][113][FuelMaterialType]</v>
      </c>
    </row>
    <row r="710" spans="1:15" x14ac:dyDescent="0.3">
      <c r="A710" t="s">
        <v>1793</v>
      </c>
      <c r="B710" t="s">
        <v>1950</v>
      </c>
      <c r="C710" t="s">
        <v>1959</v>
      </c>
      <c r="D710">
        <v>114</v>
      </c>
      <c r="E710" t="s">
        <v>1447</v>
      </c>
      <c r="F710" t="s">
        <v>1961</v>
      </c>
      <c r="G710" t="s">
        <v>1797</v>
      </c>
      <c r="H710" t="s">
        <v>1999</v>
      </c>
      <c r="I710" t="s">
        <v>1799</v>
      </c>
      <c r="J710" t="s">
        <v>1799</v>
      </c>
      <c r="K710" t="s">
        <v>1799</v>
      </c>
      <c r="L710" t="s">
        <v>1799</v>
      </c>
      <c r="M710" t="s">
        <v>1799</v>
      </c>
      <c r="N710" t="s">
        <v>1799</v>
      </c>
      <c r="O710" s="184" t="str">
        <f>"["&amp;$C710&amp;"]["&amp;$D710&amp;"]["&amp;$F710&amp;"]"</f>
        <v>[S05_DefaultValues][114][FuelMaterialType]</v>
      </c>
    </row>
    <row r="711" spans="1:15" x14ac:dyDescent="0.3">
      <c r="A711" t="s">
        <v>1793</v>
      </c>
      <c r="B711" t="s">
        <v>1950</v>
      </c>
      <c r="C711" t="s">
        <v>1959</v>
      </c>
      <c r="D711">
        <v>115</v>
      </c>
      <c r="E711" t="s">
        <v>1447</v>
      </c>
      <c r="F711" t="s">
        <v>1961</v>
      </c>
      <c r="G711" t="s">
        <v>1797</v>
      </c>
      <c r="H711" t="s">
        <v>2000</v>
      </c>
      <c r="I711" t="s">
        <v>1799</v>
      </c>
      <c r="J711" t="s">
        <v>1799</v>
      </c>
      <c r="K711" t="s">
        <v>1799</v>
      </c>
      <c r="L711" t="s">
        <v>1799</v>
      </c>
      <c r="M711" t="s">
        <v>1799</v>
      </c>
      <c r="N711" t="s">
        <v>1799</v>
      </c>
      <c r="O711" s="184" t="str">
        <f>"["&amp;$C711&amp;"]["&amp;$D711&amp;"]["&amp;$F711&amp;"]"</f>
        <v>[S05_DefaultValues][115][FuelMaterialType]</v>
      </c>
    </row>
    <row r="712" spans="1:15" x14ac:dyDescent="0.3">
      <c r="A712" t="s">
        <v>1793</v>
      </c>
      <c r="B712" t="s">
        <v>1950</v>
      </c>
      <c r="C712" t="s">
        <v>1959</v>
      </c>
      <c r="D712">
        <v>116</v>
      </c>
      <c r="E712" t="s">
        <v>1447</v>
      </c>
      <c r="F712" t="s">
        <v>1961</v>
      </c>
      <c r="G712" t="s">
        <v>1797</v>
      </c>
      <c r="H712" t="s">
        <v>2002</v>
      </c>
      <c r="I712" t="s">
        <v>1799</v>
      </c>
      <c r="J712" t="s">
        <v>1799</v>
      </c>
      <c r="K712" t="s">
        <v>1799</v>
      </c>
      <c r="L712" t="s">
        <v>1799</v>
      </c>
      <c r="M712" t="s">
        <v>1799</v>
      </c>
      <c r="N712" t="s">
        <v>1799</v>
      </c>
      <c r="O712" s="184" t="str">
        <f>"["&amp;$C712&amp;"]["&amp;$D712&amp;"]["&amp;$F712&amp;"]"</f>
        <v>[S05_DefaultValues][116][FuelMaterialType]</v>
      </c>
    </row>
    <row r="713" spans="1:15" x14ac:dyDescent="0.3">
      <c r="A713" t="s">
        <v>1793</v>
      </c>
      <c r="B713" t="s">
        <v>1950</v>
      </c>
      <c r="C713" t="s">
        <v>1959</v>
      </c>
      <c r="D713">
        <v>117</v>
      </c>
      <c r="E713" t="s">
        <v>1447</v>
      </c>
      <c r="F713" t="s">
        <v>1961</v>
      </c>
      <c r="G713" t="s">
        <v>1797</v>
      </c>
      <c r="H713" t="s">
        <v>2004</v>
      </c>
      <c r="I713" t="s">
        <v>1799</v>
      </c>
      <c r="J713" t="s">
        <v>1799</v>
      </c>
      <c r="K713" t="s">
        <v>1799</v>
      </c>
      <c r="L713" t="s">
        <v>1799</v>
      </c>
      <c r="M713" t="s">
        <v>1799</v>
      </c>
      <c r="N713" t="s">
        <v>1799</v>
      </c>
      <c r="O713" s="184" t="str">
        <f>"["&amp;$C713&amp;"]["&amp;$D713&amp;"]["&amp;$F713&amp;"]"</f>
        <v>[S05_DefaultValues][117][FuelMaterialType]</v>
      </c>
    </row>
    <row r="714" spans="1:15" x14ac:dyDescent="0.3">
      <c r="A714" t="s">
        <v>1793</v>
      </c>
      <c r="B714" t="s">
        <v>1950</v>
      </c>
      <c r="C714" t="s">
        <v>1959</v>
      </c>
      <c r="D714">
        <v>118</v>
      </c>
      <c r="E714" t="s">
        <v>1447</v>
      </c>
      <c r="F714" t="s">
        <v>1961</v>
      </c>
      <c r="G714" t="s">
        <v>1797</v>
      </c>
      <c r="H714" t="s">
        <v>2006</v>
      </c>
      <c r="I714" t="s">
        <v>1799</v>
      </c>
      <c r="J714" t="s">
        <v>1799</v>
      </c>
      <c r="K714" t="s">
        <v>1799</v>
      </c>
      <c r="L714" t="s">
        <v>1799</v>
      </c>
      <c r="M714" t="s">
        <v>1799</v>
      </c>
      <c r="N714" t="s">
        <v>1799</v>
      </c>
      <c r="O714" s="184" t="str">
        <f>"["&amp;$C714&amp;"]["&amp;$D714&amp;"]["&amp;$F714&amp;"]"</f>
        <v>[S05_DefaultValues][118][FuelMaterialType]</v>
      </c>
    </row>
    <row r="715" spans="1:15" x14ac:dyDescent="0.3">
      <c r="A715" t="s">
        <v>1793</v>
      </c>
      <c r="B715" t="s">
        <v>1950</v>
      </c>
      <c r="C715" t="s">
        <v>1959</v>
      </c>
      <c r="D715">
        <v>119</v>
      </c>
      <c r="E715" t="s">
        <v>1447</v>
      </c>
      <c r="F715" t="s">
        <v>1961</v>
      </c>
      <c r="G715" t="s">
        <v>1797</v>
      </c>
      <c r="H715" t="s">
        <v>2007</v>
      </c>
      <c r="I715" t="s">
        <v>1799</v>
      </c>
      <c r="J715" t="s">
        <v>1799</v>
      </c>
      <c r="K715" t="s">
        <v>1799</v>
      </c>
      <c r="L715" t="s">
        <v>1799</v>
      </c>
      <c r="M715" t="s">
        <v>1799</v>
      </c>
      <c r="N715" t="s">
        <v>1799</v>
      </c>
      <c r="O715" s="184" t="str">
        <f>"["&amp;$C715&amp;"]["&amp;$D715&amp;"]["&amp;$F715&amp;"]"</f>
        <v>[S05_DefaultValues][119][FuelMaterialType]</v>
      </c>
    </row>
    <row r="716" spans="1:15" x14ac:dyDescent="0.3">
      <c r="A716" t="s">
        <v>1793</v>
      </c>
      <c r="B716" t="s">
        <v>1950</v>
      </c>
      <c r="C716" t="s">
        <v>1959</v>
      </c>
      <c r="D716">
        <v>120</v>
      </c>
      <c r="E716" t="s">
        <v>1447</v>
      </c>
      <c r="F716" t="s">
        <v>1961</v>
      </c>
      <c r="G716" t="s">
        <v>1797</v>
      </c>
      <c r="H716" t="s">
        <v>2008</v>
      </c>
      <c r="I716" t="s">
        <v>1799</v>
      </c>
      <c r="J716" t="s">
        <v>1799</v>
      </c>
      <c r="K716" t="s">
        <v>1799</v>
      </c>
      <c r="L716" t="s">
        <v>1799</v>
      </c>
      <c r="M716" t="s">
        <v>1799</v>
      </c>
      <c r="N716" t="s">
        <v>1799</v>
      </c>
      <c r="O716" s="184" t="str">
        <f>"["&amp;$C716&amp;"]["&amp;$D716&amp;"]["&amp;$F716&amp;"]"</f>
        <v>[S05_DefaultValues][120][FuelMaterialType]</v>
      </c>
    </row>
    <row r="717" spans="1:15" x14ac:dyDescent="0.3">
      <c r="A717" t="s">
        <v>1793</v>
      </c>
      <c r="B717" t="s">
        <v>1950</v>
      </c>
      <c r="C717" t="s">
        <v>1959</v>
      </c>
      <c r="D717">
        <v>121</v>
      </c>
      <c r="E717" t="s">
        <v>1447</v>
      </c>
      <c r="F717" t="s">
        <v>1961</v>
      </c>
      <c r="G717" t="s">
        <v>1797</v>
      </c>
      <c r="H717" t="s">
        <v>2009</v>
      </c>
      <c r="I717" t="s">
        <v>1799</v>
      </c>
      <c r="J717" t="s">
        <v>1799</v>
      </c>
      <c r="K717" t="s">
        <v>1799</v>
      </c>
      <c r="L717" t="s">
        <v>1799</v>
      </c>
      <c r="M717" t="s">
        <v>1799</v>
      </c>
      <c r="N717" t="s">
        <v>1799</v>
      </c>
      <c r="O717" s="184" t="str">
        <f>"["&amp;$C717&amp;"]["&amp;$D717&amp;"]["&amp;$F717&amp;"]"</f>
        <v>[S05_DefaultValues][121][FuelMaterialType]</v>
      </c>
    </row>
    <row r="718" spans="1:15" x14ac:dyDescent="0.3">
      <c r="A718" t="s">
        <v>1793</v>
      </c>
      <c r="B718" t="s">
        <v>1950</v>
      </c>
      <c r="C718" t="s">
        <v>1959</v>
      </c>
      <c r="D718">
        <v>122</v>
      </c>
      <c r="E718" t="s">
        <v>1447</v>
      </c>
      <c r="F718" t="s">
        <v>1961</v>
      </c>
      <c r="G718" t="s">
        <v>1797</v>
      </c>
      <c r="H718" t="s">
        <v>2051</v>
      </c>
      <c r="I718" t="s">
        <v>1799</v>
      </c>
      <c r="J718" t="s">
        <v>1799</v>
      </c>
      <c r="K718" t="s">
        <v>1799</v>
      </c>
      <c r="L718" t="s">
        <v>1799</v>
      </c>
      <c r="M718" t="s">
        <v>1799</v>
      </c>
      <c r="N718" t="s">
        <v>1799</v>
      </c>
      <c r="O718" s="184" t="str">
        <f>"["&amp;$C718&amp;"]["&amp;$D718&amp;"]["&amp;$F718&amp;"]"</f>
        <v>[S05_DefaultValues][122][FuelMaterialType]</v>
      </c>
    </row>
    <row r="719" spans="1:15" x14ac:dyDescent="0.3">
      <c r="A719" t="s">
        <v>1793</v>
      </c>
      <c r="B719" t="s">
        <v>1950</v>
      </c>
      <c r="C719" t="s">
        <v>1959</v>
      </c>
      <c r="D719">
        <v>123</v>
      </c>
      <c r="E719" t="s">
        <v>1447</v>
      </c>
      <c r="F719" t="s">
        <v>1961</v>
      </c>
      <c r="G719" t="s">
        <v>1797</v>
      </c>
      <c r="H719" t="s">
        <v>2010</v>
      </c>
      <c r="I719" t="s">
        <v>1799</v>
      </c>
      <c r="J719" t="s">
        <v>1799</v>
      </c>
      <c r="K719" t="s">
        <v>1799</v>
      </c>
      <c r="L719" t="s">
        <v>1799</v>
      </c>
      <c r="M719" t="s">
        <v>1799</v>
      </c>
      <c r="N719" t="s">
        <v>1799</v>
      </c>
      <c r="O719" s="184" t="str">
        <f>"["&amp;$C719&amp;"]["&amp;$D719&amp;"]["&amp;$F719&amp;"]"</f>
        <v>[S05_DefaultValues][123][FuelMaterialType]</v>
      </c>
    </row>
    <row r="720" spans="1:15" x14ac:dyDescent="0.3">
      <c r="A720" t="s">
        <v>1793</v>
      </c>
      <c r="B720" t="s">
        <v>1950</v>
      </c>
      <c r="C720" t="s">
        <v>1959</v>
      </c>
      <c r="D720">
        <v>124</v>
      </c>
      <c r="E720" t="s">
        <v>1447</v>
      </c>
      <c r="F720" t="s">
        <v>1961</v>
      </c>
      <c r="G720" t="s">
        <v>1797</v>
      </c>
      <c r="H720" t="s">
        <v>2011</v>
      </c>
      <c r="I720" t="s">
        <v>1799</v>
      </c>
      <c r="J720" t="s">
        <v>1799</v>
      </c>
      <c r="K720" t="s">
        <v>1799</v>
      </c>
      <c r="L720" t="s">
        <v>1799</v>
      </c>
      <c r="M720" t="s">
        <v>1799</v>
      </c>
      <c r="N720" t="s">
        <v>1799</v>
      </c>
      <c r="O720" s="184" t="str">
        <f>"["&amp;$C720&amp;"]["&amp;$D720&amp;"]["&amp;$F720&amp;"]"</f>
        <v>[S05_DefaultValues][124][FuelMaterialType]</v>
      </c>
    </row>
    <row r="721" spans="1:15" x14ac:dyDescent="0.3">
      <c r="A721" t="s">
        <v>1793</v>
      </c>
      <c r="B721" t="s">
        <v>1950</v>
      </c>
      <c r="C721" t="s">
        <v>1959</v>
      </c>
      <c r="D721">
        <v>125</v>
      </c>
      <c r="E721" t="s">
        <v>1447</v>
      </c>
      <c r="F721" t="s">
        <v>1961</v>
      </c>
      <c r="G721" t="s">
        <v>1797</v>
      </c>
      <c r="H721" t="s">
        <v>2014</v>
      </c>
      <c r="I721" t="s">
        <v>1799</v>
      </c>
      <c r="J721" t="s">
        <v>1799</v>
      </c>
      <c r="K721" t="s">
        <v>1799</v>
      </c>
      <c r="L721" t="s">
        <v>1799</v>
      </c>
      <c r="M721" t="s">
        <v>1799</v>
      </c>
      <c r="N721" t="s">
        <v>1799</v>
      </c>
      <c r="O721" s="184" t="str">
        <f>"["&amp;$C721&amp;"]["&amp;$D721&amp;"]["&amp;$F721&amp;"]"</f>
        <v>[S05_DefaultValues][125][FuelMaterialType]</v>
      </c>
    </row>
    <row r="722" spans="1:15" x14ac:dyDescent="0.3">
      <c r="A722" t="s">
        <v>1793</v>
      </c>
      <c r="B722" t="s">
        <v>1950</v>
      </c>
      <c r="C722" t="s">
        <v>1959</v>
      </c>
      <c r="D722">
        <v>126</v>
      </c>
      <c r="E722" t="s">
        <v>1447</v>
      </c>
      <c r="F722" t="s">
        <v>1961</v>
      </c>
      <c r="G722" t="s">
        <v>1797</v>
      </c>
      <c r="H722" t="s">
        <v>2015</v>
      </c>
      <c r="I722" t="s">
        <v>1799</v>
      </c>
      <c r="J722" t="s">
        <v>1799</v>
      </c>
      <c r="K722" t="s">
        <v>1799</v>
      </c>
      <c r="L722" t="s">
        <v>1799</v>
      </c>
      <c r="M722" t="s">
        <v>1799</v>
      </c>
      <c r="N722" t="s">
        <v>1799</v>
      </c>
      <c r="O722" s="184" t="str">
        <f>"["&amp;$C722&amp;"]["&amp;$D722&amp;"]["&amp;$F722&amp;"]"</f>
        <v>[S05_DefaultValues][126][FuelMaterialType]</v>
      </c>
    </row>
    <row r="723" spans="1:15" x14ac:dyDescent="0.3">
      <c r="A723" t="s">
        <v>1793</v>
      </c>
      <c r="B723" t="s">
        <v>1950</v>
      </c>
      <c r="C723" t="s">
        <v>1959</v>
      </c>
      <c r="D723">
        <v>127</v>
      </c>
      <c r="E723" t="s">
        <v>1447</v>
      </c>
      <c r="F723" t="s">
        <v>1961</v>
      </c>
      <c r="G723" t="s">
        <v>1797</v>
      </c>
      <c r="H723" t="s">
        <v>2016</v>
      </c>
      <c r="I723" t="s">
        <v>1799</v>
      </c>
      <c r="J723" t="s">
        <v>1799</v>
      </c>
      <c r="K723" t="s">
        <v>1799</v>
      </c>
      <c r="L723" t="s">
        <v>1799</v>
      </c>
      <c r="M723" t="s">
        <v>1799</v>
      </c>
      <c r="N723" t="s">
        <v>1799</v>
      </c>
      <c r="O723" s="184" t="str">
        <f>"["&amp;$C723&amp;"]["&amp;$D723&amp;"]["&amp;$F723&amp;"]"</f>
        <v>[S05_DefaultValues][127][FuelMaterialType]</v>
      </c>
    </row>
    <row r="724" spans="1:15" x14ac:dyDescent="0.3">
      <c r="A724" t="s">
        <v>1793</v>
      </c>
      <c r="B724" t="s">
        <v>1950</v>
      </c>
      <c r="C724" t="s">
        <v>1959</v>
      </c>
      <c r="D724">
        <v>128</v>
      </c>
      <c r="E724" t="s">
        <v>1447</v>
      </c>
      <c r="F724" t="s">
        <v>1961</v>
      </c>
      <c r="G724" t="s">
        <v>1797</v>
      </c>
      <c r="H724" t="s">
        <v>2017</v>
      </c>
      <c r="I724" t="s">
        <v>1799</v>
      </c>
      <c r="J724" t="s">
        <v>1799</v>
      </c>
      <c r="K724" t="s">
        <v>1799</v>
      </c>
      <c r="L724" t="s">
        <v>1799</v>
      </c>
      <c r="M724" t="s">
        <v>1799</v>
      </c>
      <c r="N724" t="s">
        <v>1799</v>
      </c>
      <c r="O724" s="184" t="str">
        <f>"["&amp;$C724&amp;"]["&amp;$D724&amp;"]["&amp;$F724&amp;"]"</f>
        <v>[S05_DefaultValues][128][FuelMaterialType]</v>
      </c>
    </row>
    <row r="725" spans="1:15" x14ac:dyDescent="0.3">
      <c r="A725" t="s">
        <v>1793</v>
      </c>
      <c r="B725" t="s">
        <v>1950</v>
      </c>
      <c r="C725" t="s">
        <v>1959</v>
      </c>
      <c r="D725">
        <v>129</v>
      </c>
      <c r="E725" t="s">
        <v>1447</v>
      </c>
      <c r="F725" t="s">
        <v>1961</v>
      </c>
      <c r="G725" t="s">
        <v>1797</v>
      </c>
      <c r="H725" t="s">
        <v>2018</v>
      </c>
      <c r="I725" t="s">
        <v>1799</v>
      </c>
      <c r="J725" t="s">
        <v>1799</v>
      </c>
      <c r="K725" t="s">
        <v>1799</v>
      </c>
      <c r="L725" t="s">
        <v>1799</v>
      </c>
      <c r="M725" t="s">
        <v>1799</v>
      </c>
      <c r="N725" t="s">
        <v>1799</v>
      </c>
      <c r="O725" s="184" t="str">
        <f>"["&amp;$C725&amp;"]["&amp;$D725&amp;"]["&amp;$F725&amp;"]"</f>
        <v>[S05_DefaultValues][129][FuelMaterialType]</v>
      </c>
    </row>
    <row r="726" spans="1:15" x14ac:dyDescent="0.3">
      <c r="A726" t="s">
        <v>1793</v>
      </c>
      <c r="B726" t="s">
        <v>1950</v>
      </c>
      <c r="C726" t="s">
        <v>1959</v>
      </c>
      <c r="D726">
        <v>130</v>
      </c>
      <c r="E726" t="s">
        <v>1447</v>
      </c>
      <c r="F726" t="s">
        <v>1961</v>
      </c>
      <c r="G726" t="s">
        <v>1797</v>
      </c>
      <c r="H726" t="s">
        <v>2019</v>
      </c>
      <c r="I726" t="s">
        <v>1799</v>
      </c>
      <c r="J726" t="s">
        <v>1799</v>
      </c>
      <c r="K726" t="s">
        <v>1799</v>
      </c>
      <c r="L726" t="s">
        <v>1799</v>
      </c>
      <c r="M726" t="s">
        <v>1799</v>
      </c>
      <c r="N726" t="s">
        <v>1799</v>
      </c>
      <c r="O726" s="184" t="str">
        <f>"["&amp;$C726&amp;"]["&amp;$D726&amp;"]["&amp;$F726&amp;"]"</f>
        <v>[S05_DefaultValues][130][FuelMaterialType]</v>
      </c>
    </row>
    <row r="727" spans="1:15" x14ac:dyDescent="0.3">
      <c r="A727" t="s">
        <v>1793</v>
      </c>
      <c r="B727" t="s">
        <v>1950</v>
      </c>
      <c r="C727" t="s">
        <v>1959</v>
      </c>
      <c r="D727">
        <v>131</v>
      </c>
      <c r="E727" t="s">
        <v>1447</v>
      </c>
      <c r="F727" t="s">
        <v>1961</v>
      </c>
      <c r="G727" t="s">
        <v>1797</v>
      </c>
      <c r="H727" t="s">
        <v>2020</v>
      </c>
      <c r="I727" t="s">
        <v>1799</v>
      </c>
      <c r="J727" t="s">
        <v>1799</v>
      </c>
      <c r="K727" t="s">
        <v>1799</v>
      </c>
      <c r="L727" t="s">
        <v>1799</v>
      </c>
      <c r="M727" t="s">
        <v>1799</v>
      </c>
      <c r="N727" t="s">
        <v>1799</v>
      </c>
      <c r="O727" s="184" t="str">
        <f>"["&amp;$C727&amp;"]["&amp;$D727&amp;"]["&amp;$F727&amp;"]"</f>
        <v>[S05_DefaultValues][131][FuelMaterialType]</v>
      </c>
    </row>
    <row r="728" spans="1:15" x14ac:dyDescent="0.3">
      <c r="A728" t="s">
        <v>1793</v>
      </c>
      <c r="B728" t="s">
        <v>1950</v>
      </c>
      <c r="C728" t="s">
        <v>1959</v>
      </c>
      <c r="D728">
        <v>132</v>
      </c>
      <c r="E728" t="s">
        <v>1447</v>
      </c>
      <c r="F728" t="s">
        <v>1961</v>
      </c>
      <c r="G728" t="s">
        <v>1797</v>
      </c>
      <c r="H728" t="s">
        <v>2021</v>
      </c>
      <c r="I728" t="s">
        <v>1799</v>
      </c>
      <c r="J728" t="s">
        <v>1799</v>
      </c>
      <c r="K728" t="s">
        <v>1799</v>
      </c>
      <c r="L728" t="s">
        <v>1799</v>
      </c>
      <c r="M728" t="s">
        <v>1799</v>
      </c>
      <c r="N728" t="s">
        <v>1799</v>
      </c>
      <c r="O728" s="184" t="str">
        <f>"["&amp;$C728&amp;"]["&amp;$D728&amp;"]["&amp;$F728&amp;"]"</f>
        <v>[S05_DefaultValues][132][FuelMaterialType]</v>
      </c>
    </row>
    <row r="729" spans="1:15" x14ac:dyDescent="0.3">
      <c r="A729" t="s">
        <v>1793</v>
      </c>
      <c r="B729" t="s">
        <v>1950</v>
      </c>
      <c r="C729" t="s">
        <v>1959</v>
      </c>
      <c r="D729">
        <v>133</v>
      </c>
      <c r="E729" t="s">
        <v>1447</v>
      </c>
      <c r="F729" t="s">
        <v>1961</v>
      </c>
      <c r="G729" t="s">
        <v>1797</v>
      </c>
      <c r="H729" t="s">
        <v>2023</v>
      </c>
      <c r="I729" t="s">
        <v>1799</v>
      </c>
      <c r="J729" t="s">
        <v>1799</v>
      </c>
      <c r="K729" t="s">
        <v>1799</v>
      </c>
      <c r="L729" t="s">
        <v>1799</v>
      </c>
      <c r="M729" t="s">
        <v>1799</v>
      </c>
      <c r="N729" t="s">
        <v>1799</v>
      </c>
      <c r="O729" s="184" t="str">
        <f>"["&amp;$C729&amp;"]["&amp;$D729&amp;"]["&amp;$F729&amp;"]"</f>
        <v>[S05_DefaultValues][133][FuelMaterialType]</v>
      </c>
    </row>
    <row r="730" spans="1:15" x14ac:dyDescent="0.3">
      <c r="A730" t="s">
        <v>1793</v>
      </c>
      <c r="B730" t="s">
        <v>1950</v>
      </c>
      <c r="C730" t="s">
        <v>1959</v>
      </c>
      <c r="D730">
        <v>134</v>
      </c>
      <c r="E730" t="s">
        <v>1447</v>
      </c>
      <c r="F730" t="s">
        <v>1961</v>
      </c>
      <c r="G730" t="s">
        <v>1797</v>
      </c>
      <c r="H730" t="s">
        <v>2024</v>
      </c>
      <c r="I730" t="s">
        <v>1799</v>
      </c>
      <c r="J730" t="s">
        <v>1799</v>
      </c>
      <c r="K730" t="s">
        <v>1799</v>
      </c>
      <c r="L730" t="s">
        <v>1799</v>
      </c>
      <c r="M730" t="s">
        <v>1799</v>
      </c>
      <c r="N730" t="s">
        <v>1799</v>
      </c>
      <c r="O730" s="184" t="str">
        <f>"["&amp;$C730&amp;"]["&amp;$D730&amp;"]["&amp;$F730&amp;"]"</f>
        <v>[S05_DefaultValues][134][FuelMaterialType]</v>
      </c>
    </row>
    <row r="731" spans="1:15" x14ac:dyDescent="0.3">
      <c r="A731" t="s">
        <v>1793</v>
      </c>
      <c r="B731" t="s">
        <v>1950</v>
      </c>
      <c r="C731" t="s">
        <v>1959</v>
      </c>
      <c r="D731">
        <v>135</v>
      </c>
      <c r="E731" t="s">
        <v>1447</v>
      </c>
      <c r="F731" t="s">
        <v>1961</v>
      </c>
      <c r="G731" t="s">
        <v>1797</v>
      </c>
      <c r="H731" t="s">
        <v>2025</v>
      </c>
      <c r="I731" t="s">
        <v>1799</v>
      </c>
      <c r="J731" t="s">
        <v>1799</v>
      </c>
      <c r="K731" t="s">
        <v>1799</v>
      </c>
      <c r="L731" t="s">
        <v>1799</v>
      </c>
      <c r="M731" t="s">
        <v>1799</v>
      </c>
      <c r="N731" t="s">
        <v>1799</v>
      </c>
      <c r="O731" s="184" t="str">
        <f>"["&amp;$C731&amp;"]["&amp;$D731&amp;"]["&amp;$F731&amp;"]"</f>
        <v>[S05_DefaultValues][135][FuelMaterialType]</v>
      </c>
    </row>
    <row r="732" spans="1:15" x14ac:dyDescent="0.3">
      <c r="A732" t="s">
        <v>1793</v>
      </c>
      <c r="B732" t="s">
        <v>1950</v>
      </c>
      <c r="C732" t="s">
        <v>1959</v>
      </c>
      <c r="D732">
        <v>136</v>
      </c>
      <c r="E732" t="s">
        <v>1447</v>
      </c>
      <c r="F732" t="s">
        <v>1961</v>
      </c>
      <c r="G732" t="s">
        <v>1797</v>
      </c>
      <c r="H732" t="s">
        <v>2026</v>
      </c>
      <c r="I732" t="s">
        <v>1799</v>
      </c>
      <c r="J732" t="s">
        <v>1799</v>
      </c>
      <c r="K732" t="s">
        <v>1799</v>
      </c>
      <c r="L732" t="s">
        <v>1799</v>
      </c>
      <c r="M732" t="s">
        <v>1799</v>
      </c>
      <c r="N732" t="s">
        <v>1799</v>
      </c>
      <c r="O732" s="184" t="str">
        <f>"["&amp;$C732&amp;"]["&amp;$D732&amp;"]["&amp;$F732&amp;"]"</f>
        <v>[S05_DefaultValues][136][FuelMaterialType]</v>
      </c>
    </row>
    <row r="733" spans="1:15" x14ac:dyDescent="0.3">
      <c r="A733" t="s">
        <v>1793</v>
      </c>
      <c r="B733" t="s">
        <v>1950</v>
      </c>
      <c r="C733" t="s">
        <v>1959</v>
      </c>
      <c r="D733">
        <v>137</v>
      </c>
      <c r="E733" t="s">
        <v>1447</v>
      </c>
      <c r="F733" t="s">
        <v>1961</v>
      </c>
      <c r="G733" t="s">
        <v>1797</v>
      </c>
      <c r="H733" t="s">
        <v>2052</v>
      </c>
      <c r="I733" t="s">
        <v>1799</v>
      </c>
      <c r="J733" t="s">
        <v>1799</v>
      </c>
      <c r="K733" t="s">
        <v>1799</v>
      </c>
      <c r="L733" t="s">
        <v>1799</v>
      </c>
      <c r="M733" t="s">
        <v>1799</v>
      </c>
      <c r="N733" t="s">
        <v>1799</v>
      </c>
      <c r="O733" s="184" t="str">
        <f>"["&amp;$C733&amp;"]["&amp;$D733&amp;"]["&amp;$F733&amp;"]"</f>
        <v>[S05_DefaultValues][137][FuelMaterialType]</v>
      </c>
    </row>
    <row r="734" spans="1:15" x14ac:dyDescent="0.3">
      <c r="A734" t="s">
        <v>1793</v>
      </c>
      <c r="B734" t="s">
        <v>1950</v>
      </c>
      <c r="C734" t="s">
        <v>1959</v>
      </c>
      <c r="D734">
        <v>138</v>
      </c>
      <c r="E734" t="s">
        <v>1447</v>
      </c>
      <c r="F734" t="s">
        <v>1961</v>
      </c>
      <c r="G734" t="s">
        <v>1797</v>
      </c>
      <c r="H734" t="s">
        <v>2027</v>
      </c>
      <c r="I734" t="s">
        <v>1799</v>
      </c>
      <c r="J734" t="s">
        <v>1799</v>
      </c>
      <c r="K734" t="s">
        <v>1799</v>
      </c>
      <c r="L734" t="s">
        <v>1799</v>
      </c>
      <c r="M734" t="s">
        <v>1799</v>
      </c>
      <c r="N734" t="s">
        <v>1799</v>
      </c>
      <c r="O734" s="184" t="str">
        <f>"["&amp;$C734&amp;"]["&amp;$D734&amp;"]["&amp;$F734&amp;"]"</f>
        <v>[S05_DefaultValues][138][FuelMaterialType]</v>
      </c>
    </row>
    <row r="735" spans="1:15" x14ac:dyDescent="0.3">
      <c r="A735" t="s">
        <v>1793</v>
      </c>
      <c r="B735" t="s">
        <v>1950</v>
      </c>
      <c r="C735" t="s">
        <v>1959</v>
      </c>
      <c r="D735">
        <v>139</v>
      </c>
      <c r="E735" t="s">
        <v>1447</v>
      </c>
      <c r="F735" t="s">
        <v>1961</v>
      </c>
      <c r="G735" t="s">
        <v>1797</v>
      </c>
      <c r="H735" t="s">
        <v>2028</v>
      </c>
      <c r="I735" t="s">
        <v>1799</v>
      </c>
      <c r="J735" t="s">
        <v>1799</v>
      </c>
      <c r="K735" t="s">
        <v>1799</v>
      </c>
      <c r="L735" t="s">
        <v>1799</v>
      </c>
      <c r="M735" t="s">
        <v>1799</v>
      </c>
      <c r="N735" t="s">
        <v>1799</v>
      </c>
      <c r="O735" s="184" t="str">
        <f>"["&amp;$C735&amp;"]["&amp;$D735&amp;"]["&amp;$F735&amp;"]"</f>
        <v>[S05_DefaultValues][139][FuelMaterialType]</v>
      </c>
    </row>
    <row r="736" spans="1:15" x14ac:dyDescent="0.3">
      <c r="A736" t="s">
        <v>1793</v>
      </c>
      <c r="B736" t="s">
        <v>1950</v>
      </c>
      <c r="C736" t="s">
        <v>1959</v>
      </c>
      <c r="D736">
        <v>140</v>
      </c>
      <c r="E736" t="s">
        <v>1447</v>
      </c>
      <c r="F736" t="s">
        <v>1961</v>
      </c>
      <c r="G736" t="s">
        <v>1797</v>
      </c>
      <c r="H736" t="s">
        <v>2032</v>
      </c>
      <c r="I736" t="s">
        <v>1799</v>
      </c>
      <c r="J736" t="s">
        <v>1799</v>
      </c>
      <c r="K736" t="s">
        <v>1799</v>
      </c>
      <c r="L736" t="s">
        <v>1799</v>
      </c>
      <c r="M736" t="s">
        <v>1799</v>
      </c>
      <c r="N736" t="s">
        <v>1799</v>
      </c>
      <c r="O736" s="184" t="str">
        <f>"["&amp;$C736&amp;"]["&amp;$D736&amp;"]["&amp;$F736&amp;"]"</f>
        <v>[S05_DefaultValues][140][FuelMaterialType]</v>
      </c>
    </row>
    <row r="737" spans="1:15" x14ac:dyDescent="0.3">
      <c r="A737" t="s">
        <v>1793</v>
      </c>
      <c r="B737" t="s">
        <v>1950</v>
      </c>
      <c r="C737" t="s">
        <v>1959</v>
      </c>
      <c r="D737">
        <v>141</v>
      </c>
      <c r="E737" t="s">
        <v>1447</v>
      </c>
      <c r="F737" t="s">
        <v>1961</v>
      </c>
      <c r="G737" t="s">
        <v>1797</v>
      </c>
      <c r="H737" t="s">
        <v>2033</v>
      </c>
      <c r="I737" t="s">
        <v>1799</v>
      </c>
      <c r="J737" t="s">
        <v>1799</v>
      </c>
      <c r="K737" t="s">
        <v>1799</v>
      </c>
      <c r="L737" t="s">
        <v>1799</v>
      </c>
      <c r="M737" t="s">
        <v>1799</v>
      </c>
      <c r="N737" t="s">
        <v>1799</v>
      </c>
      <c r="O737" s="184" t="str">
        <f>"["&amp;$C737&amp;"]["&amp;$D737&amp;"]["&amp;$F737&amp;"]"</f>
        <v>[S05_DefaultValues][141][FuelMaterialType]</v>
      </c>
    </row>
    <row r="738" spans="1:15" x14ac:dyDescent="0.3">
      <c r="A738" t="s">
        <v>1793</v>
      </c>
      <c r="B738" t="s">
        <v>1950</v>
      </c>
      <c r="C738" t="s">
        <v>1959</v>
      </c>
      <c r="D738">
        <v>142</v>
      </c>
      <c r="E738" t="s">
        <v>1447</v>
      </c>
      <c r="F738" t="s">
        <v>1961</v>
      </c>
      <c r="G738" t="s">
        <v>1797</v>
      </c>
      <c r="H738" t="s">
        <v>2034</v>
      </c>
      <c r="I738" t="s">
        <v>1799</v>
      </c>
      <c r="J738" t="s">
        <v>1799</v>
      </c>
      <c r="K738" t="s">
        <v>1799</v>
      </c>
      <c r="L738" t="s">
        <v>1799</v>
      </c>
      <c r="M738" t="s">
        <v>1799</v>
      </c>
      <c r="N738" t="s">
        <v>1799</v>
      </c>
      <c r="O738" s="184" t="str">
        <f>"["&amp;$C738&amp;"]["&amp;$D738&amp;"]["&amp;$F738&amp;"]"</f>
        <v>[S05_DefaultValues][142][FuelMaterialType]</v>
      </c>
    </row>
    <row r="739" spans="1:15" x14ac:dyDescent="0.3">
      <c r="A739" t="s">
        <v>1793</v>
      </c>
      <c r="B739" t="s">
        <v>1950</v>
      </c>
      <c r="C739" t="s">
        <v>1959</v>
      </c>
      <c r="D739">
        <v>143</v>
      </c>
      <c r="E739" t="s">
        <v>1447</v>
      </c>
      <c r="F739" t="s">
        <v>1961</v>
      </c>
      <c r="G739" t="s">
        <v>1797</v>
      </c>
      <c r="H739" t="s">
        <v>2035</v>
      </c>
      <c r="I739" t="s">
        <v>1799</v>
      </c>
      <c r="J739" t="s">
        <v>1799</v>
      </c>
      <c r="K739" t="s">
        <v>1799</v>
      </c>
      <c r="L739" t="s">
        <v>1799</v>
      </c>
      <c r="M739" t="s">
        <v>1799</v>
      </c>
      <c r="N739" t="s">
        <v>1799</v>
      </c>
      <c r="O739" s="184" t="str">
        <f>"["&amp;$C739&amp;"]["&amp;$D739&amp;"]["&amp;$F739&amp;"]"</f>
        <v>[S05_DefaultValues][143][FuelMaterialType]</v>
      </c>
    </row>
    <row r="740" spans="1:15" x14ac:dyDescent="0.3">
      <c r="A740" t="s">
        <v>1793</v>
      </c>
      <c r="B740" t="s">
        <v>1950</v>
      </c>
      <c r="C740" t="s">
        <v>1959</v>
      </c>
      <c r="D740">
        <v>144</v>
      </c>
      <c r="E740" t="s">
        <v>1447</v>
      </c>
      <c r="F740" t="s">
        <v>1961</v>
      </c>
      <c r="G740" t="s">
        <v>1797</v>
      </c>
      <c r="H740" t="s">
        <v>2036</v>
      </c>
      <c r="I740" t="s">
        <v>1799</v>
      </c>
      <c r="J740" t="s">
        <v>1799</v>
      </c>
      <c r="K740" t="s">
        <v>1799</v>
      </c>
      <c r="L740" t="s">
        <v>1799</v>
      </c>
      <c r="M740" t="s">
        <v>1799</v>
      </c>
      <c r="N740" t="s">
        <v>1799</v>
      </c>
      <c r="O740" s="184" t="str">
        <f>"["&amp;$C740&amp;"]["&amp;$D740&amp;"]["&amp;$F740&amp;"]"</f>
        <v>[S05_DefaultValues][144][FuelMaterialType]</v>
      </c>
    </row>
    <row r="741" spans="1:15" x14ac:dyDescent="0.3">
      <c r="A741" t="s">
        <v>1793</v>
      </c>
      <c r="B741" t="s">
        <v>1950</v>
      </c>
      <c r="C741" t="s">
        <v>1959</v>
      </c>
      <c r="D741">
        <v>145</v>
      </c>
      <c r="E741" t="s">
        <v>1447</v>
      </c>
      <c r="F741" t="s">
        <v>1961</v>
      </c>
      <c r="G741" t="s">
        <v>1797</v>
      </c>
      <c r="H741" t="s">
        <v>2053</v>
      </c>
      <c r="I741" t="s">
        <v>1799</v>
      </c>
      <c r="J741" t="s">
        <v>1799</v>
      </c>
      <c r="K741" t="s">
        <v>1799</v>
      </c>
      <c r="L741" t="s">
        <v>1799</v>
      </c>
      <c r="M741" t="s">
        <v>1799</v>
      </c>
      <c r="N741" t="s">
        <v>1799</v>
      </c>
      <c r="O741" s="184" t="str">
        <f>"["&amp;$C741&amp;"]["&amp;$D741&amp;"]["&amp;$F741&amp;"]"</f>
        <v>[S05_DefaultValues][145][FuelMaterialType]</v>
      </c>
    </row>
    <row r="742" spans="1:15" x14ac:dyDescent="0.3">
      <c r="A742" t="s">
        <v>1793</v>
      </c>
      <c r="B742" t="s">
        <v>1950</v>
      </c>
      <c r="C742" t="s">
        <v>1959</v>
      </c>
      <c r="D742">
        <v>146</v>
      </c>
      <c r="E742" t="s">
        <v>1447</v>
      </c>
      <c r="F742" t="s">
        <v>1961</v>
      </c>
      <c r="G742" t="s">
        <v>1797</v>
      </c>
      <c r="H742" t="s">
        <v>2054</v>
      </c>
      <c r="I742" t="s">
        <v>1799</v>
      </c>
      <c r="J742" t="s">
        <v>1799</v>
      </c>
      <c r="K742" t="s">
        <v>1799</v>
      </c>
      <c r="L742" t="s">
        <v>1799</v>
      </c>
      <c r="M742" t="s">
        <v>1799</v>
      </c>
      <c r="N742" t="s">
        <v>1799</v>
      </c>
      <c r="O742" s="184" t="str">
        <f>"["&amp;$C742&amp;"]["&amp;$D742&amp;"]["&amp;$F742&amp;"]"</f>
        <v>[S05_DefaultValues][146][FuelMaterialType]</v>
      </c>
    </row>
    <row r="743" spans="1:15" x14ac:dyDescent="0.3">
      <c r="A743" t="s">
        <v>1793</v>
      </c>
      <c r="B743" t="s">
        <v>1950</v>
      </c>
      <c r="C743" t="s">
        <v>1959</v>
      </c>
      <c r="D743">
        <v>147</v>
      </c>
      <c r="E743" t="s">
        <v>1447</v>
      </c>
      <c r="F743" t="s">
        <v>1961</v>
      </c>
      <c r="G743" t="s">
        <v>1797</v>
      </c>
      <c r="H743" t="s">
        <v>2039</v>
      </c>
      <c r="I743" t="s">
        <v>1799</v>
      </c>
      <c r="J743" t="s">
        <v>1799</v>
      </c>
      <c r="K743" t="s">
        <v>1799</v>
      </c>
      <c r="L743" t="s">
        <v>1799</v>
      </c>
      <c r="M743" t="s">
        <v>1799</v>
      </c>
      <c r="N743" t="s">
        <v>1799</v>
      </c>
      <c r="O743" s="184" t="str">
        <f>"["&amp;$C743&amp;"]["&amp;$D743&amp;"]["&amp;$F743&amp;"]"</f>
        <v>[S05_DefaultValues][147][FuelMaterialType]</v>
      </c>
    </row>
    <row r="744" spans="1:15" x14ac:dyDescent="0.3">
      <c r="A744" t="s">
        <v>1793</v>
      </c>
      <c r="B744" t="s">
        <v>1950</v>
      </c>
      <c r="C744" t="s">
        <v>1959</v>
      </c>
      <c r="D744">
        <v>148</v>
      </c>
      <c r="E744" t="s">
        <v>1447</v>
      </c>
      <c r="F744" t="s">
        <v>1961</v>
      </c>
      <c r="G744" t="s">
        <v>1797</v>
      </c>
      <c r="H744" t="s">
        <v>2040</v>
      </c>
      <c r="I744" t="s">
        <v>1799</v>
      </c>
      <c r="J744" t="s">
        <v>1799</v>
      </c>
      <c r="K744" t="s">
        <v>1799</v>
      </c>
      <c r="L744" t="s">
        <v>1799</v>
      </c>
      <c r="M744" t="s">
        <v>1799</v>
      </c>
      <c r="N744" t="s">
        <v>1799</v>
      </c>
      <c r="O744" s="184" t="str">
        <f>"["&amp;$C744&amp;"]["&amp;$D744&amp;"]["&amp;$F744&amp;"]"</f>
        <v>[S05_DefaultValues][148][FuelMaterialType]</v>
      </c>
    </row>
    <row r="745" spans="1:15" x14ac:dyDescent="0.3">
      <c r="A745" t="s">
        <v>1793</v>
      </c>
      <c r="B745" t="s">
        <v>1950</v>
      </c>
      <c r="C745" t="s">
        <v>1959</v>
      </c>
      <c r="D745">
        <v>149</v>
      </c>
      <c r="E745" t="s">
        <v>1447</v>
      </c>
      <c r="F745" t="s">
        <v>1961</v>
      </c>
      <c r="G745" t="s">
        <v>1797</v>
      </c>
      <c r="H745" t="s">
        <v>2041</v>
      </c>
      <c r="I745" t="s">
        <v>1799</v>
      </c>
      <c r="J745" t="s">
        <v>1799</v>
      </c>
      <c r="K745" t="s">
        <v>1799</v>
      </c>
      <c r="L745" t="s">
        <v>1799</v>
      </c>
      <c r="M745" t="s">
        <v>1799</v>
      </c>
      <c r="N745" t="s">
        <v>1799</v>
      </c>
      <c r="O745" s="184" t="str">
        <f>"["&amp;$C745&amp;"]["&amp;$D745&amp;"]["&amp;$F745&amp;"]"</f>
        <v>[S05_DefaultValues][149][FuelMaterialType]</v>
      </c>
    </row>
    <row r="746" spans="1:15" x14ac:dyDescent="0.3">
      <c r="A746" t="s">
        <v>1793</v>
      </c>
      <c r="B746" t="s">
        <v>1950</v>
      </c>
      <c r="C746" t="s">
        <v>1959</v>
      </c>
      <c r="D746">
        <v>150</v>
      </c>
      <c r="E746" t="s">
        <v>1447</v>
      </c>
      <c r="F746" t="s">
        <v>1961</v>
      </c>
      <c r="G746" t="s">
        <v>1797</v>
      </c>
      <c r="H746" t="s">
        <v>2055</v>
      </c>
      <c r="I746" t="s">
        <v>1799</v>
      </c>
      <c r="J746" t="s">
        <v>1799</v>
      </c>
      <c r="K746" t="s">
        <v>1799</v>
      </c>
      <c r="L746" t="s">
        <v>1799</v>
      </c>
      <c r="M746" t="s">
        <v>1799</v>
      </c>
      <c r="N746" t="s">
        <v>1799</v>
      </c>
      <c r="O746" s="184" t="str">
        <f>"["&amp;$C746&amp;"]["&amp;$D746&amp;"]["&amp;$F746&amp;"]"</f>
        <v>[S05_DefaultValues][150][FuelMaterialType]</v>
      </c>
    </row>
    <row r="747" spans="1:15" x14ac:dyDescent="0.3">
      <c r="A747" t="s">
        <v>1793</v>
      </c>
      <c r="B747" t="s">
        <v>1950</v>
      </c>
      <c r="C747" t="s">
        <v>1959</v>
      </c>
      <c r="D747">
        <v>151</v>
      </c>
      <c r="E747" t="s">
        <v>1447</v>
      </c>
      <c r="F747" t="s">
        <v>1961</v>
      </c>
      <c r="G747" t="s">
        <v>1797</v>
      </c>
      <c r="H747" t="s">
        <v>2042</v>
      </c>
      <c r="I747" t="s">
        <v>1799</v>
      </c>
      <c r="J747" t="s">
        <v>1799</v>
      </c>
      <c r="K747" t="s">
        <v>1799</v>
      </c>
      <c r="L747" t="s">
        <v>1799</v>
      </c>
      <c r="M747" t="s">
        <v>1799</v>
      </c>
      <c r="N747" t="s">
        <v>1799</v>
      </c>
      <c r="O747" s="184" t="str">
        <f>"["&amp;$C747&amp;"]["&amp;$D747&amp;"]["&amp;$F747&amp;"]"</f>
        <v>[S05_DefaultValues][151][FuelMaterialType]</v>
      </c>
    </row>
    <row r="748" spans="1:15" x14ac:dyDescent="0.3">
      <c r="A748" t="s">
        <v>1793</v>
      </c>
      <c r="B748" t="s">
        <v>1950</v>
      </c>
      <c r="C748" t="s">
        <v>1959</v>
      </c>
      <c r="D748">
        <v>152</v>
      </c>
      <c r="E748" t="s">
        <v>1447</v>
      </c>
      <c r="F748" t="s">
        <v>1961</v>
      </c>
      <c r="G748" t="s">
        <v>1797</v>
      </c>
      <c r="H748" t="s">
        <v>2044</v>
      </c>
      <c r="I748" t="s">
        <v>1799</v>
      </c>
      <c r="J748" t="s">
        <v>1799</v>
      </c>
      <c r="K748" t="s">
        <v>1799</v>
      </c>
      <c r="L748" t="s">
        <v>1799</v>
      </c>
      <c r="M748" t="s">
        <v>1799</v>
      </c>
      <c r="N748" t="s">
        <v>1799</v>
      </c>
      <c r="O748" s="184" t="str">
        <f>"["&amp;$C748&amp;"]["&amp;$D748&amp;"]["&amp;$F748&amp;"]"</f>
        <v>[S05_DefaultValues][152][FuelMaterialType]</v>
      </c>
    </row>
    <row r="749" spans="1:15" x14ac:dyDescent="0.3">
      <c r="A749" t="s">
        <v>1793</v>
      </c>
      <c r="B749" t="s">
        <v>1950</v>
      </c>
      <c r="C749" t="s">
        <v>1959</v>
      </c>
      <c r="D749">
        <v>153</v>
      </c>
      <c r="E749" t="s">
        <v>1447</v>
      </c>
      <c r="F749" t="s">
        <v>1961</v>
      </c>
      <c r="G749" t="s">
        <v>1797</v>
      </c>
      <c r="H749" t="s">
        <v>2056</v>
      </c>
      <c r="I749" t="s">
        <v>1799</v>
      </c>
      <c r="J749" t="s">
        <v>1799</v>
      </c>
      <c r="K749" t="s">
        <v>1799</v>
      </c>
      <c r="L749" t="s">
        <v>1799</v>
      </c>
      <c r="M749" t="s">
        <v>1799</v>
      </c>
      <c r="N749" t="s">
        <v>1799</v>
      </c>
      <c r="O749" s="184" t="str">
        <f>"["&amp;$C749&amp;"]["&amp;$D749&amp;"]["&amp;$F749&amp;"]"</f>
        <v>[S05_DefaultValues][153][FuelMaterialType]</v>
      </c>
    </row>
    <row r="750" spans="1:15" x14ac:dyDescent="0.3">
      <c r="A750" t="s">
        <v>1793</v>
      </c>
      <c r="B750" t="s">
        <v>1950</v>
      </c>
      <c r="C750" t="s">
        <v>1959</v>
      </c>
      <c r="D750">
        <v>154</v>
      </c>
      <c r="E750" t="s">
        <v>1447</v>
      </c>
      <c r="F750" t="s">
        <v>1961</v>
      </c>
      <c r="G750" t="s">
        <v>1797</v>
      </c>
      <c r="H750" t="s">
        <v>2045</v>
      </c>
      <c r="I750" t="s">
        <v>1799</v>
      </c>
      <c r="J750" t="s">
        <v>1799</v>
      </c>
      <c r="K750" t="s">
        <v>1799</v>
      </c>
      <c r="L750" t="s">
        <v>1799</v>
      </c>
      <c r="M750" t="s">
        <v>1799</v>
      </c>
      <c r="N750" t="s">
        <v>1799</v>
      </c>
      <c r="O750" s="184" t="str">
        <f>"["&amp;$C750&amp;"]["&amp;$D750&amp;"]["&amp;$F750&amp;"]"</f>
        <v>[S05_DefaultValues][154][FuelMaterialType]</v>
      </c>
    </row>
    <row r="751" spans="1:15" x14ac:dyDescent="0.3">
      <c r="A751" t="s">
        <v>1793</v>
      </c>
      <c r="B751" t="s">
        <v>1950</v>
      </c>
      <c r="C751" t="s">
        <v>1959</v>
      </c>
      <c r="D751">
        <v>155</v>
      </c>
      <c r="E751" t="s">
        <v>1447</v>
      </c>
      <c r="F751" t="s">
        <v>1961</v>
      </c>
      <c r="G751" t="s">
        <v>1797</v>
      </c>
      <c r="H751" t="s">
        <v>2046</v>
      </c>
      <c r="I751" t="s">
        <v>1799</v>
      </c>
      <c r="J751" t="s">
        <v>1799</v>
      </c>
      <c r="K751" t="s">
        <v>1799</v>
      </c>
      <c r="L751" t="s">
        <v>1799</v>
      </c>
      <c r="M751" t="s">
        <v>1799</v>
      </c>
      <c r="N751" t="s">
        <v>1799</v>
      </c>
      <c r="O751" s="184" t="str">
        <f>"["&amp;$C751&amp;"]["&amp;$D751&amp;"]["&amp;$F751&amp;"]"</f>
        <v>[S05_DefaultValues][155][FuelMaterialType]</v>
      </c>
    </row>
    <row r="752" spans="1:15" x14ac:dyDescent="0.3">
      <c r="A752" t="s">
        <v>1793</v>
      </c>
      <c r="B752" t="s">
        <v>1950</v>
      </c>
      <c r="C752" t="s">
        <v>1959</v>
      </c>
      <c r="D752">
        <v>156</v>
      </c>
      <c r="E752" t="s">
        <v>1447</v>
      </c>
      <c r="F752" t="s">
        <v>1961</v>
      </c>
      <c r="G752" t="s">
        <v>1797</v>
      </c>
      <c r="H752" t="s">
        <v>2057</v>
      </c>
      <c r="I752" t="s">
        <v>1799</v>
      </c>
      <c r="J752" t="s">
        <v>1799</v>
      </c>
      <c r="K752" t="s">
        <v>1799</v>
      </c>
      <c r="L752" t="s">
        <v>1799</v>
      </c>
      <c r="M752" t="s">
        <v>1799</v>
      </c>
      <c r="N752" t="s">
        <v>1799</v>
      </c>
      <c r="O752" s="184" t="str">
        <f>"["&amp;$C752&amp;"]["&amp;$D752&amp;"]["&amp;$F752&amp;"]"</f>
        <v>[S05_DefaultValues][156][FuelMaterialType]</v>
      </c>
    </row>
    <row r="753" spans="1:15" x14ac:dyDescent="0.3">
      <c r="A753" t="s">
        <v>1793</v>
      </c>
      <c r="B753" t="s">
        <v>1950</v>
      </c>
      <c r="C753" t="s">
        <v>1959</v>
      </c>
      <c r="D753">
        <v>157</v>
      </c>
      <c r="E753" t="s">
        <v>1447</v>
      </c>
      <c r="F753" t="s">
        <v>1961</v>
      </c>
      <c r="G753" t="s">
        <v>1797</v>
      </c>
      <c r="H753" t="s">
        <v>2058</v>
      </c>
      <c r="I753" t="s">
        <v>1799</v>
      </c>
      <c r="J753" t="s">
        <v>1799</v>
      </c>
      <c r="K753" t="s">
        <v>1799</v>
      </c>
      <c r="L753" t="s">
        <v>1799</v>
      </c>
      <c r="M753" t="s">
        <v>1799</v>
      </c>
      <c r="N753" t="s">
        <v>1799</v>
      </c>
      <c r="O753" s="184" t="str">
        <f>"["&amp;$C753&amp;"]["&amp;$D753&amp;"]["&amp;$F753&amp;"]"</f>
        <v>[S05_DefaultValues][157][FuelMaterialType]</v>
      </c>
    </row>
    <row r="754" spans="1:15" x14ac:dyDescent="0.3">
      <c r="A754" t="s">
        <v>1793</v>
      </c>
      <c r="B754" t="s">
        <v>1950</v>
      </c>
      <c r="C754" t="s">
        <v>1959</v>
      </c>
      <c r="D754">
        <v>158</v>
      </c>
      <c r="E754" t="s">
        <v>1447</v>
      </c>
      <c r="F754" t="s">
        <v>1961</v>
      </c>
      <c r="G754" t="s">
        <v>1797</v>
      </c>
      <c r="H754" t="s">
        <v>1964</v>
      </c>
      <c r="I754" t="s">
        <v>1799</v>
      </c>
      <c r="J754" t="s">
        <v>1799</v>
      </c>
      <c r="K754" t="s">
        <v>1799</v>
      </c>
      <c r="L754" t="s">
        <v>1799</v>
      </c>
      <c r="M754" t="s">
        <v>1799</v>
      </c>
      <c r="N754" t="s">
        <v>1799</v>
      </c>
      <c r="O754" s="184" t="str">
        <f>"["&amp;$C754&amp;"]["&amp;$D754&amp;"]["&amp;$F754&amp;"]"</f>
        <v>[S05_DefaultValues][158][FuelMaterialType]</v>
      </c>
    </row>
    <row r="755" spans="1:15" x14ac:dyDescent="0.3">
      <c r="A755" t="s">
        <v>1793</v>
      </c>
      <c r="B755" t="s">
        <v>1950</v>
      </c>
      <c r="C755" t="s">
        <v>1959</v>
      </c>
      <c r="D755">
        <v>159</v>
      </c>
      <c r="E755" t="s">
        <v>1447</v>
      </c>
      <c r="F755" t="s">
        <v>1961</v>
      </c>
      <c r="G755" t="s">
        <v>1797</v>
      </c>
      <c r="H755" t="s">
        <v>1965</v>
      </c>
      <c r="I755" t="s">
        <v>1799</v>
      </c>
      <c r="J755" t="s">
        <v>1799</v>
      </c>
      <c r="K755" t="s">
        <v>1799</v>
      </c>
      <c r="L755" t="s">
        <v>1799</v>
      </c>
      <c r="M755" t="s">
        <v>1799</v>
      </c>
      <c r="N755" t="s">
        <v>1799</v>
      </c>
      <c r="O755" s="184" t="str">
        <f>"["&amp;$C755&amp;"]["&amp;$D755&amp;"]["&amp;$F755&amp;"]"</f>
        <v>[S05_DefaultValues][159][FuelMaterialType]</v>
      </c>
    </row>
    <row r="756" spans="1:15" x14ac:dyDescent="0.3">
      <c r="A756" t="s">
        <v>1793</v>
      </c>
      <c r="B756" t="s">
        <v>1950</v>
      </c>
      <c r="C756" t="s">
        <v>1959</v>
      </c>
      <c r="D756">
        <v>160</v>
      </c>
      <c r="E756" t="s">
        <v>1447</v>
      </c>
      <c r="F756" t="s">
        <v>1961</v>
      </c>
      <c r="G756" t="s">
        <v>1797</v>
      </c>
      <c r="H756" t="s">
        <v>2059</v>
      </c>
      <c r="I756" t="s">
        <v>1799</v>
      </c>
      <c r="J756" t="s">
        <v>1799</v>
      </c>
      <c r="K756" t="s">
        <v>1799</v>
      </c>
      <c r="L756" t="s">
        <v>1799</v>
      </c>
      <c r="M756" t="s">
        <v>1799</v>
      </c>
      <c r="N756" t="s">
        <v>1799</v>
      </c>
      <c r="O756" s="184" t="str">
        <f>"["&amp;$C756&amp;"]["&amp;$D756&amp;"]["&amp;$F756&amp;"]"</f>
        <v>[S05_DefaultValues][160][FuelMaterialType]</v>
      </c>
    </row>
    <row r="757" spans="1:15" x14ac:dyDescent="0.3">
      <c r="A757" t="s">
        <v>1793</v>
      </c>
      <c r="B757" t="s">
        <v>1950</v>
      </c>
      <c r="C757" t="s">
        <v>1959</v>
      </c>
      <c r="D757">
        <v>161</v>
      </c>
      <c r="E757" t="s">
        <v>1447</v>
      </c>
      <c r="F757" t="s">
        <v>1961</v>
      </c>
      <c r="G757" t="s">
        <v>1797</v>
      </c>
      <c r="H757" t="s">
        <v>1966</v>
      </c>
      <c r="I757" t="s">
        <v>1799</v>
      </c>
      <c r="J757" t="s">
        <v>1799</v>
      </c>
      <c r="K757" t="s">
        <v>1799</v>
      </c>
      <c r="L757" t="s">
        <v>1799</v>
      </c>
      <c r="M757" t="s">
        <v>1799</v>
      </c>
      <c r="N757" t="s">
        <v>1799</v>
      </c>
      <c r="O757" s="184" t="str">
        <f>"["&amp;$C757&amp;"]["&amp;$D757&amp;"]["&amp;$F757&amp;"]"</f>
        <v>[S05_DefaultValues][161][FuelMaterialType]</v>
      </c>
    </row>
    <row r="758" spans="1:15" x14ac:dyDescent="0.3">
      <c r="A758" t="s">
        <v>1793</v>
      </c>
      <c r="B758" t="s">
        <v>1950</v>
      </c>
      <c r="C758" t="s">
        <v>1959</v>
      </c>
      <c r="D758">
        <v>162</v>
      </c>
      <c r="E758" t="s">
        <v>1447</v>
      </c>
      <c r="F758" t="s">
        <v>1961</v>
      </c>
      <c r="G758" t="s">
        <v>1797</v>
      </c>
      <c r="H758" t="s">
        <v>1968</v>
      </c>
      <c r="I758" t="s">
        <v>1799</v>
      </c>
      <c r="J758" t="s">
        <v>1799</v>
      </c>
      <c r="K758" t="s">
        <v>1799</v>
      </c>
      <c r="L758" t="s">
        <v>1799</v>
      </c>
      <c r="M758" t="s">
        <v>1799</v>
      </c>
      <c r="N758" t="s">
        <v>1799</v>
      </c>
      <c r="O758" s="184" t="str">
        <f>"["&amp;$C758&amp;"]["&amp;$D758&amp;"]["&amp;$F758&amp;"]"</f>
        <v>[S05_DefaultValues][162][FuelMaterialType]</v>
      </c>
    </row>
    <row r="759" spans="1:15" x14ac:dyDescent="0.3">
      <c r="A759" t="s">
        <v>1793</v>
      </c>
      <c r="B759" t="s">
        <v>1950</v>
      </c>
      <c r="C759" t="s">
        <v>1959</v>
      </c>
      <c r="D759">
        <v>163</v>
      </c>
      <c r="E759" t="s">
        <v>1447</v>
      </c>
      <c r="F759" t="s">
        <v>1961</v>
      </c>
      <c r="G759" t="s">
        <v>1797</v>
      </c>
      <c r="H759" t="s">
        <v>2048</v>
      </c>
      <c r="I759" t="s">
        <v>1799</v>
      </c>
      <c r="J759" t="s">
        <v>1799</v>
      </c>
      <c r="K759" t="s">
        <v>1799</v>
      </c>
      <c r="L759" t="s">
        <v>1799</v>
      </c>
      <c r="M759" t="s">
        <v>1799</v>
      </c>
      <c r="N759" t="s">
        <v>1799</v>
      </c>
      <c r="O759" s="184" t="str">
        <f>"["&amp;$C759&amp;"]["&amp;$D759&amp;"]["&amp;$F759&amp;"]"</f>
        <v>[S05_DefaultValues][163][FuelMaterialType]</v>
      </c>
    </row>
    <row r="760" spans="1:15" x14ac:dyDescent="0.3">
      <c r="A760" t="s">
        <v>1793</v>
      </c>
      <c r="B760" t="s">
        <v>1950</v>
      </c>
      <c r="C760" t="s">
        <v>1959</v>
      </c>
      <c r="D760">
        <v>164</v>
      </c>
      <c r="E760" t="s">
        <v>1447</v>
      </c>
      <c r="F760" t="s">
        <v>1961</v>
      </c>
      <c r="G760" t="s">
        <v>1797</v>
      </c>
      <c r="H760" t="s">
        <v>1970</v>
      </c>
      <c r="I760" t="s">
        <v>1799</v>
      </c>
      <c r="J760" t="s">
        <v>1799</v>
      </c>
      <c r="K760" t="s">
        <v>1799</v>
      </c>
      <c r="L760" t="s">
        <v>1799</v>
      </c>
      <c r="M760" t="s">
        <v>1799</v>
      </c>
      <c r="N760" t="s">
        <v>1799</v>
      </c>
      <c r="O760" s="184" t="str">
        <f>"["&amp;$C760&amp;"]["&amp;$D760&amp;"]["&amp;$F760&amp;"]"</f>
        <v>[S05_DefaultValues][164][FuelMaterialType]</v>
      </c>
    </row>
    <row r="761" spans="1:15" x14ac:dyDescent="0.3">
      <c r="A761" t="s">
        <v>1793</v>
      </c>
      <c r="B761" t="s">
        <v>1950</v>
      </c>
      <c r="C761" t="s">
        <v>1959</v>
      </c>
      <c r="D761">
        <v>165</v>
      </c>
      <c r="E761" t="s">
        <v>1447</v>
      </c>
      <c r="F761" t="s">
        <v>1961</v>
      </c>
      <c r="G761" t="s">
        <v>1797</v>
      </c>
      <c r="H761" t="s">
        <v>1971</v>
      </c>
      <c r="I761" t="s">
        <v>1799</v>
      </c>
      <c r="J761" t="s">
        <v>1799</v>
      </c>
      <c r="K761" t="s">
        <v>1799</v>
      </c>
      <c r="L761" t="s">
        <v>1799</v>
      </c>
      <c r="M761" t="s">
        <v>1799</v>
      </c>
      <c r="N761" t="s">
        <v>1799</v>
      </c>
      <c r="O761" s="184" t="str">
        <f>"["&amp;$C761&amp;"]["&amp;$D761&amp;"]["&amp;$F761&amp;"]"</f>
        <v>[S05_DefaultValues][165][FuelMaterialType]</v>
      </c>
    </row>
    <row r="762" spans="1:15" x14ac:dyDescent="0.3">
      <c r="A762" t="s">
        <v>1793</v>
      </c>
      <c r="B762" t="s">
        <v>1950</v>
      </c>
      <c r="C762" t="s">
        <v>1959</v>
      </c>
      <c r="D762">
        <v>166</v>
      </c>
      <c r="E762" t="s">
        <v>1447</v>
      </c>
      <c r="F762" t="s">
        <v>1961</v>
      </c>
      <c r="G762" t="s">
        <v>1797</v>
      </c>
      <c r="H762" t="s">
        <v>1973</v>
      </c>
      <c r="I762" t="s">
        <v>1799</v>
      </c>
      <c r="J762" t="s">
        <v>1799</v>
      </c>
      <c r="K762" t="s">
        <v>1799</v>
      </c>
      <c r="L762" t="s">
        <v>1799</v>
      </c>
      <c r="M762" t="s">
        <v>1799</v>
      </c>
      <c r="N762" t="s">
        <v>1799</v>
      </c>
      <c r="O762" s="184" t="str">
        <f>"["&amp;$C762&amp;"]["&amp;$D762&amp;"]["&amp;$F762&amp;"]"</f>
        <v>[S05_DefaultValues][166][FuelMaterialType]</v>
      </c>
    </row>
    <row r="763" spans="1:15" x14ac:dyDescent="0.3">
      <c r="A763" t="s">
        <v>1793</v>
      </c>
      <c r="B763" t="s">
        <v>1950</v>
      </c>
      <c r="C763" t="s">
        <v>1959</v>
      </c>
      <c r="D763">
        <v>167</v>
      </c>
      <c r="E763" t="s">
        <v>1447</v>
      </c>
      <c r="F763" t="s">
        <v>1961</v>
      </c>
      <c r="G763" t="s">
        <v>1797</v>
      </c>
      <c r="H763" t="s">
        <v>2060</v>
      </c>
      <c r="I763" t="s">
        <v>1799</v>
      </c>
      <c r="J763" t="s">
        <v>1799</v>
      </c>
      <c r="K763" t="s">
        <v>1799</v>
      </c>
      <c r="L763" t="s">
        <v>1799</v>
      </c>
      <c r="M763" t="s">
        <v>1799</v>
      </c>
      <c r="N763" t="s">
        <v>1799</v>
      </c>
      <c r="O763" s="184" t="str">
        <f>"["&amp;$C763&amp;"]["&amp;$D763&amp;"]["&amp;$F763&amp;"]"</f>
        <v>[S05_DefaultValues][167][FuelMaterialType]</v>
      </c>
    </row>
    <row r="764" spans="1:15" x14ac:dyDescent="0.3">
      <c r="A764" t="s">
        <v>1793</v>
      </c>
      <c r="B764" t="s">
        <v>1950</v>
      </c>
      <c r="C764" t="s">
        <v>1959</v>
      </c>
      <c r="D764">
        <v>168</v>
      </c>
      <c r="E764" t="s">
        <v>1447</v>
      </c>
      <c r="F764" t="s">
        <v>1961</v>
      </c>
      <c r="G764" t="s">
        <v>1797</v>
      </c>
      <c r="H764" t="s">
        <v>1978</v>
      </c>
      <c r="I764" t="s">
        <v>1799</v>
      </c>
      <c r="J764" t="s">
        <v>1799</v>
      </c>
      <c r="K764" t="s">
        <v>1799</v>
      </c>
      <c r="L764" t="s">
        <v>1799</v>
      </c>
      <c r="M764" t="s">
        <v>1799</v>
      </c>
      <c r="N764" t="s">
        <v>1799</v>
      </c>
      <c r="O764" s="184" t="str">
        <f>"["&amp;$C764&amp;"]["&amp;$D764&amp;"]["&amp;$F764&amp;"]"</f>
        <v>[S05_DefaultValues][168][FuelMaterialType]</v>
      </c>
    </row>
    <row r="765" spans="1:15" x14ac:dyDescent="0.3">
      <c r="A765" t="s">
        <v>1793</v>
      </c>
      <c r="B765" t="s">
        <v>1950</v>
      </c>
      <c r="C765" t="s">
        <v>1959</v>
      </c>
      <c r="D765">
        <v>169</v>
      </c>
      <c r="E765" t="s">
        <v>1447</v>
      </c>
      <c r="F765" t="s">
        <v>1961</v>
      </c>
      <c r="G765" t="s">
        <v>1797</v>
      </c>
      <c r="H765" t="s">
        <v>1979</v>
      </c>
      <c r="I765" t="s">
        <v>1799</v>
      </c>
      <c r="J765" t="s">
        <v>1799</v>
      </c>
      <c r="K765" t="s">
        <v>1799</v>
      </c>
      <c r="L765" t="s">
        <v>1799</v>
      </c>
      <c r="M765" t="s">
        <v>1799</v>
      </c>
      <c r="N765" t="s">
        <v>1799</v>
      </c>
      <c r="O765" s="184" t="str">
        <f>"["&amp;$C765&amp;"]["&amp;$D765&amp;"]["&amp;$F765&amp;"]"</f>
        <v>[S05_DefaultValues][169][FuelMaterialType]</v>
      </c>
    </row>
    <row r="766" spans="1:15" x14ac:dyDescent="0.3">
      <c r="A766" t="s">
        <v>1793</v>
      </c>
      <c r="B766" t="s">
        <v>1950</v>
      </c>
      <c r="C766" t="s">
        <v>1959</v>
      </c>
      <c r="D766">
        <v>170</v>
      </c>
      <c r="E766" t="s">
        <v>1447</v>
      </c>
      <c r="F766" t="s">
        <v>1961</v>
      </c>
      <c r="G766" t="s">
        <v>1797</v>
      </c>
      <c r="H766" t="s">
        <v>2061</v>
      </c>
      <c r="I766" t="s">
        <v>1799</v>
      </c>
      <c r="J766" t="s">
        <v>1799</v>
      </c>
      <c r="K766" t="s">
        <v>1799</v>
      </c>
      <c r="L766" t="s">
        <v>1799</v>
      </c>
      <c r="M766" t="s">
        <v>1799</v>
      </c>
      <c r="N766" t="s">
        <v>1799</v>
      </c>
      <c r="O766" s="184" t="str">
        <f>"["&amp;$C766&amp;"]["&amp;$D766&amp;"]["&amp;$F766&amp;"]"</f>
        <v>[S05_DefaultValues][170][FuelMaterialType]</v>
      </c>
    </row>
    <row r="767" spans="1:15" x14ac:dyDescent="0.3">
      <c r="A767" t="s">
        <v>1793</v>
      </c>
      <c r="B767" t="s">
        <v>1950</v>
      </c>
      <c r="C767" t="s">
        <v>1959</v>
      </c>
      <c r="D767">
        <v>171</v>
      </c>
      <c r="E767" t="s">
        <v>1447</v>
      </c>
      <c r="F767" t="s">
        <v>1961</v>
      </c>
      <c r="G767" t="s">
        <v>1797</v>
      </c>
      <c r="H767" t="s">
        <v>2062</v>
      </c>
      <c r="I767" t="s">
        <v>1799</v>
      </c>
      <c r="J767" t="s">
        <v>1799</v>
      </c>
      <c r="K767" t="s">
        <v>1799</v>
      </c>
      <c r="L767" t="s">
        <v>1799</v>
      </c>
      <c r="M767" t="s">
        <v>1799</v>
      </c>
      <c r="N767" t="s">
        <v>1799</v>
      </c>
      <c r="O767" s="184" t="str">
        <f>"["&amp;$C767&amp;"]["&amp;$D767&amp;"]["&amp;$F767&amp;"]"</f>
        <v>[S05_DefaultValues][171][FuelMaterialType]</v>
      </c>
    </row>
    <row r="768" spans="1:15" x14ac:dyDescent="0.3">
      <c r="A768" t="s">
        <v>1793</v>
      </c>
      <c r="B768" t="s">
        <v>1950</v>
      </c>
      <c r="C768" t="s">
        <v>1959</v>
      </c>
      <c r="D768">
        <v>172</v>
      </c>
      <c r="E768" t="s">
        <v>1447</v>
      </c>
      <c r="F768" t="s">
        <v>1961</v>
      </c>
      <c r="G768" t="s">
        <v>1797</v>
      </c>
      <c r="H768" t="s">
        <v>2063</v>
      </c>
      <c r="I768" t="s">
        <v>1799</v>
      </c>
      <c r="J768" t="s">
        <v>1799</v>
      </c>
      <c r="K768" t="s">
        <v>1799</v>
      </c>
      <c r="L768" t="s">
        <v>1799</v>
      </c>
      <c r="M768" t="s">
        <v>1799</v>
      </c>
      <c r="N768" t="s">
        <v>1799</v>
      </c>
      <c r="O768" s="184" t="str">
        <f>"["&amp;$C768&amp;"]["&amp;$D768&amp;"]["&amp;$F768&amp;"]"</f>
        <v>[S05_DefaultValues][172][FuelMaterialType]</v>
      </c>
    </row>
    <row r="769" spans="1:15" x14ac:dyDescent="0.3">
      <c r="A769" t="s">
        <v>1793</v>
      </c>
      <c r="B769" t="s">
        <v>1950</v>
      </c>
      <c r="C769" t="s">
        <v>1959</v>
      </c>
      <c r="D769">
        <v>173</v>
      </c>
      <c r="E769" t="s">
        <v>1447</v>
      </c>
      <c r="F769" t="s">
        <v>1961</v>
      </c>
      <c r="G769" t="s">
        <v>1797</v>
      </c>
      <c r="H769" t="s">
        <v>2064</v>
      </c>
      <c r="I769" t="s">
        <v>1799</v>
      </c>
      <c r="J769" t="s">
        <v>1799</v>
      </c>
      <c r="K769" t="s">
        <v>1799</v>
      </c>
      <c r="L769" t="s">
        <v>1799</v>
      </c>
      <c r="M769" t="s">
        <v>1799</v>
      </c>
      <c r="N769" t="s">
        <v>1799</v>
      </c>
      <c r="O769" s="184" t="str">
        <f>"["&amp;$C769&amp;"]["&amp;$D769&amp;"]["&amp;$F769&amp;"]"</f>
        <v>[S05_DefaultValues][173][FuelMaterialType]</v>
      </c>
    </row>
    <row r="770" spans="1:15" x14ac:dyDescent="0.3">
      <c r="A770" t="s">
        <v>1793</v>
      </c>
      <c r="B770" t="s">
        <v>1950</v>
      </c>
      <c r="C770" t="s">
        <v>1959</v>
      </c>
      <c r="D770">
        <v>174</v>
      </c>
      <c r="E770" t="s">
        <v>1447</v>
      </c>
      <c r="F770" t="s">
        <v>1961</v>
      </c>
      <c r="G770" t="s">
        <v>1797</v>
      </c>
      <c r="H770" t="s">
        <v>1980</v>
      </c>
      <c r="I770" t="s">
        <v>1799</v>
      </c>
      <c r="J770" t="s">
        <v>1799</v>
      </c>
      <c r="K770" t="s">
        <v>1799</v>
      </c>
      <c r="L770" t="s">
        <v>1799</v>
      </c>
      <c r="M770" t="s">
        <v>1799</v>
      </c>
      <c r="N770" t="s">
        <v>1799</v>
      </c>
      <c r="O770" s="184" t="str">
        <f>"["&amp;$C770&amp;"]["&amp;$D770&amp;"]["&amp;$F770&amp;"]"</f>
        <v>[S05_DefaultValues][174][FuelMaterialType]</v>
      </c>
    </row>
    <row r="771" spans="1:15" x14ac:dyDescent="0.3">
      <c r="A771" t="s">
        <v>1793</v>
      </c>
      <c r="B771" t="s">
        <v>1950</v>
      </c>
      <c r="C771" t="s">
        <v>1959</v>
      </c>
      <c r="D771">
        <v>175</v>
      </c>
      <c r="E771" t="s">
        <v>1447</v>
      </c>
      <c r="F771" t="s">
        <v>1961</v>
      </c>
      <c r="G771" t="s">
        <v>1797</v>
      </c>
      <c r="H771" t="s">
        <v>1981</v>
      </c>
      <c r="I771" t="s">
        <v>1799</v>
      </c>
      <c r="J771" t="s">
        <v>1799</v>
      </c>
      <c r="K771" t="s">
        <v>1799</v>
      </c>
      <c r="L771" t="s">
        <v>1799</v>
      </c>
      <c r="M771" t="s">
        <v>1799</v>
      </c>
      <c r="N771" t="s">
        <v>1799</v>
      </c>
      <c r="O771" s="184" t="str">
        <f>"["&amp;$C771&amp;"]["&amp;$D771&amp;"]["&amp;$F771&amp;"]"</f>
        <v>[S05_DefaultValues][175][FuelMaterialType]</v>
      </c>
    </row>
    <row r="772" spans="1:15" x14ac:dyDescent="0.3">
      <c r="A772" t="s">
        <v>1793</v>
      </c>
      <c r="B772" t="s">
        <v>1950</v>
      </c>
      <c r="C772" t="s">
        <v>1959</v>
      </c>
      <c r="D772">
        <v>176</v>
      </c>
      <c r="E772" t="s">
        <v>1447</v>
      </c>
      <c r="F772" t="s">
        <v>1961</v>
      </c>
      <c r="G772" t="s">
        <v>1797</v>
      </c>
      <c r="H772" t="s">
        <v>2050</v>
      </c>
      <c r="I772" t="s">
        <v>1799</v>
      </c>
      <c r="J772" t="s">
        <v>1799</v>
      </c>
      <c r="K772" t="s">
        <v>1799</v>
      </c>
      <c r="L772" t="s">
        <v>1799</v>
      </c>
      <c r="M772" t="s">
        <v>1799</v>
      </c>
      <c r="N772" t="s">
        <v>1799</v>
      </c>
      <c r="O772" s="184" t="str">
        <f>"["&amp;$C772&amp;"]["&amp;$D772&amp;"]["&amp;$F772&amp;"]"</f>
        <v>[S05_DefaultValues][176][FuelMaterialType]</v>
      </c>
    </row>
    <row r="773" spans="1:15" x14ac:dyDescent="0.3">
      <c r="A773" t="s">
        <v>1793</v>
      </c>
      <c r="B773" t="s">
        <v>1950</v>
      </c>
      <c r="C773" t="s">
        <v>1959</v>
      </c>
      <c r="D773">
        <v>177</v>
      </c>
      <c r="E773" t="s">
        <v>1447</v>
      </c>
      <c r="F773" t="s">
        <v>1961</v>
      </c>
      <c r="G773" t="s">
        <v>1797</v>
      </c>
      <c r="H773" t="s">
        <v>2065</v>
      </c>
      <c r="I773" t="s">
        <v>1799</v>
      </c>
      <c r="J773" t="s">
        <v>1799</v>
      </c>
      <c r="K773" t="s">
        <v>1799</v>
      </c>
      <c r="L773" t="s">
        <v>1799</v>
      </c>
      <c r="M773" t="s">
        <v>1799</v>
      </c>
      <c r="N773" t="s">
        <v>1799</v>
      </c>
      <c r="O773" s="184" t="str">
        <f>"["&amp;$C773&amp;"]["&amp;$D773&amp;"]["&amp;$F773&amp;"]"</f>
        <v>[S05_DefaultValues][177][FuelMaterialType]</v>
      </c>
    </row>
    <row r="774" spans="1:15" x14ac:dyDescent="0.3">
      <c r="A774" t="s">
        <v>1793</v>
      </c>
      <c r="B774" t="s">
        <v>1950</v>
      </c>
      <c r="C774" t="s">
        <v>1959</v>
      </c>
      <c r="D774">
        <v>178</v>
      </c>
      <c r="E774" t="s">
        <v>1447</v>
      </c>
      <c r="F774" t="s">
        <v>1961</v>
      </c>
      <c r="G774" t="s">
        <v>1797</v>
      </c>
      <c r="H774" t="s">
        <v>1982</v>
      </c>
      <c r="I774" t="s">
        <v>1799</v>
      </c>
      <c r="J774" t="s">
        <v>1799</v>
      </c>
      <c r="K774" t="s">
        <v>1799</v>
      </c>
      <c r="L774" t="s">
        <v>1799</v>
      </c>
      <c r="M774" t="s">
        <v>1799</v>
      </c>
      <c r="N774" t="s">
        <v>1799</v>
      </c>
      <c r="O774" s="184" t="str">
        <f>"["&amp;$C774&amp;"]["&amp;$D774&amp;"]["&amp;$F774&amp;"]"</f>
        <v>[S05_DefaultValues][178][FuelMaterialType]</v>
      </c>
    </row>
    <row r="775" spans="1:15" x14ac:dyDescent="0.3">
      <c r="A775" t="s">
        <v>1793</v>
      </c>
      <c r="B775" t="s">
        <v>1950</v>
      </c>
      <c r="C775" t="s">
        <v>1959</v>
      </c>
      <c r="D775">
        <v>179</v>
      </c>
      <c r="E775" t="s">
        <v>1447</v>
      </c>
      <c r="F775" t="s">
        <v>1961</v>
      </c>
      <c r="G775" t="s">
        <v>1797</v>
      </c>
      <c r="H775" t="s">
        <v>1983</v>
      </c>
      <c r="I775" t="s">
        <v>1799</v>
      </c>
      <c r="J775" t="s">
        <v>1799</v>
      </c>
      <c r="K775" t="s">
        <v>1799</v>
      </c>
      <c r="L775" t="s">
        <v>1799</v>
      </c>
      <c r="M775" t="s">
        <v>1799</v>
      </c>
      <c r="N775" t="s">
        <v>1799</v>
      </c>
      <c r="O775" s="184" t="str">
        <f>"["&amp;$C775&amp;"]["&amp;$D775&amp;"]["&amp;$F775&amp;"]"</f>
        <v>[S05_DefaultValues][179][FuelMaterialType]</v>
      </c>
    </row>
    <row r="776" spans="1:15" x14ac:dyDescent="0.3">
      <c r="A776" t="s">
        <v>1793</v>
      </c>
      <c r="B776" t="s">
        <v>1950</v>
      </c>
      <c r="C776" t="s">
        <v>1959</v>
      </c>
      <c r="D776">
        <v>180</v>
      </c>
      <c r="E776" t="s">
        <v>1447</v>
      </c>
      <c r="F776" t="s">
        <v>1961</v>
      </c>
      <c r="G776" t="s">
        <v>1797</v>
      </c>
      <c r="H776" t="s">
        <v>1984</v>
      </c>
      <c r="I776" t="s">
        <v>1799</v>
      </c>
      <c r="J776" t="s">
        <v>1799</v>
      </c>
      <c r="K776" t="s">
        <v>1799</v>
      </c>
      <c r="L776" t="s">
        <v>1799</v>
      </c>
      <c r="M776" t="s">
        <v>1799</v>
      </c>
      <c r="N776" t="s">
        <v>1799</v>
      </c>
      <c r="O776" s="184" t="str">
        <f>"["&amp;$C776&amp;"]["&amp;$D776&amp;"]["&amp;$F776&amp;"]"</f>
        <v>[S05_DefaultValues][180][FuelMaterialType]</v>
      </c>
    </row>
    <row r="777" spans="1:15" x14ac:dyDescent="0.3">
      <c r="A777" t="s">
        <v>1793</v>
      </c>
      <c r="B777" t="s">
        <v>1950</v>
      </c>
      <c r="C777" t="s">
        <v>1959</v>
      </c>
      <c r="D777">
        <v>181</v>
      </c>
      <c r="E777" t="s">
        <v>1447</v>
      </c>
      <c r="F777" t="s">
        <v>1961</v>
      </c>
      <c r="G777" t="s">
        <v>1797</v>
      </c>
      <c r="H777" t="s">
        <v>1985</v>
      </c>
      <c r="I777" t="s">
        <v>1799</v>
      </c>
      <c r="J777" t="s">
        <v>1799</v>
      </c>
      <c r="K777" t="s">
        <v>1799</v>
      </c>
      <c r="L777" t="s">
        <v>1799</v>
      </c>
      <c r="M777" t="s">
        <v>1799</v>
      </c>
      <c r="N777" t="s">
        <v>1799</v>
      </c>
      <c r="O777" s="184" t="str">
        <f>"["&amp;$C777&amp;"]["&amp;$D777&amp;"]["&amp;$F777&amp;"]"</f>
        <v>[S05_DefaultValues][181][FuelMaterialType]</v>
      </c>
    </row>
    <row r="778" spans="1:15" x14ac:dyDescent="0.3">
      <c r="A778" t="s">
        <v>1793</v>
      </c>
      <c r="B778" t="s">
        <v>1950</v>
      </c>
      <c r="C778" t="s">
        <v>1959</v>
      </c>
      <c r="D778">
        <v>182</v>
      </c>
      <c r="E778" t="s">
        <v>1447</v>
      </c>
      <c r="F778" t="s">
        <v>1961</v>
      </c>
      <c r="G778" t="s">
        <v>1797</v>
      </c>
      <c r="H778" t="s">
        <v>1986</v>
      </c>
      <c r="I778" t="s">
        <v>1799</v>
      </c>
      <c r="J778" t="s">
        <v>1799</v>
      </c>
      <c r="K778" t="s">
        <v>1799</v>
      </c>
      <c r="L778" t="s">
        <v>1799</v>
      </c>
      <c r="M778" t="s">
        <v>1799</v>
      </c>
      <c r="N778" t="s">
        <v>1799</v>
      </c>
      <c r="O778" s="184" t="str">
        <f>"["&amp;$C778&amp;"]["&amp;$D778&amp;"]["&amp;$F778&amp;"]"</f>
        <v>[S05_DefaultValues][182][FuelMaterialType]</v>
      </c>
    </row>
    <row r="779" spans="1:15" x14ac:dyDescent="0.3">
      <c r="A779" t="s">
        <v>1793</v>
      </c>
      <c r="B779" t="s">
        <v>1950</v>
      </c>
      <c r="C779" t="s">
        <v>1959</v>
      </c>
      <c r="D779">
        <v>183</v>
      </c>
      <c r="E779" t="s">
        <v>1447</v>
      </c>
      <c r="F779" t="s">
        <v>1961</v>
      </c>
      <c r="G779" t="s">
        <v>1797</v>
      </c>
      <c r="H779" t="s">
        <v>1987</v>
      </c>
      <c r="I779" t="s">
        <v>1799</v>
      </c>
      <c r="J779" t="s">
        <v>1799</v>
      </c>
      <c r="K779" t="s">
        <v>1799</v>
      </c>
      <c r="L779" t="s">
        <v>1799</v>
      </c>
      <c r="M779" t="s">
        <v>1799</v>
      </c>
      <c r="N779" t="s">
        <v>1799</v>
      </c>
      <c r="O779" s="184" t="str">
        <f>"["&amp;$C779&amp;"]["&amp;$D779&amp;"]["&amp;$F779&amp;"]"</f>
        <v>[S05_DefaultValues][183][FuelMaterialType]</v>
      </c>
    </row>
    <row r="780" spans="1:15" x14ac:dyDescent="0.3">
      <c r="A780" t="s">
        <v>1793</v>
      </c>
      <c r="B780" t="s">
        <v>1950</v>
      </c>
      <c r="C780" t="s">
        <v>1959</v>
      </c>
      <c r="D780">
        <v>184</v>
      </c>
      <c r="E780" t="s">
        <v>1447</v>
      </c>
      <c r="F780" t="s">
        <v>1961</v>
      </c>
      <c r="G780" t="s">
        <v>1797</v>
      </c>
      <c r="H780" t="s">
        <v>1989</v>
      </c>
      <c r="I780" t="s">
        <v>1799</v>
      </c>
      <c r="J780" t="s">
        <v>1799</v>
      </c>
      <c r="K780" t="s">
        <v>1799</v>
      </c>
      <c r="L780" t="s">
        <v>1799</v>
      </c>
      <c r="M780" t="s">
        <v>1799</v>
      </c>
      <c r="N780" t="s">
        <v>1799</v>
      </c>
      <c r="O780" s="184" t="str">
        <f>"["&amp;$C780&amp;"]["&amp;$D780&amp;"]["&amp;$F780&amp;"]"</f>
        <v>[S05_DefaultValues][184][FuelMaterialType]</v>
      </c>
    </row>
    <row r="781" spans="1:15" x14ac:dyDescent="0.3">
      <c r="A781" t="s">
        <v>1793</v>
      </c>
      <c r="B781" t="s">
        <v>1950</v>
      </c>
      <c r="C781" t="s">
        <v>1959</v>
      </c>
      <c r="D781">
        <v>185</v>
      </c>
      <c r="E781" t="s">
        <v>1447</v>
      </c>
      <c r="F781" t="s">
        <v>1961</v>
      </c>
      <c r="G781" t="s">
        <v>1797</v>
      </c>
      <c r="H781" t="s">
        <v>1990</v>
      </c>
      <c r="I781" t="s">
        <v>1799</v>
      </c>
      <c r="J781" t="s">
        <v>1799</v>
      </c>
      <c r="K781" t="s">
        <v>1799</v>
      </c>
      <c r="L781" t="s">
        <v>1799</v>
      </c>
      <c r="M781" t="s">
        <v>1799</v>
      </c>
      <c r="N781" t="s">
        <v>1799</v>
      </c>
      <c r="O781" s="184" t="str">
        <f>"["&amp;$C781&amp;"]["&amp;$D781&amp;"]["&amp;$F781&amp;"]"</f>
        <v>[S05_DefaultValues][185][FuelMaterialType]</v>
      </c>
    </row>
    <row r="782" spans="1:15" x14ac:dyDescent="0.3">
      <c r="A782" t="s">
        <v>1793</v>
      </c>
      <c r="B782" t="s">
        <v>1950</v>
      </c>
      <c r="C782" t="s">
        <v>1959</v>
      </c>
      <c r="D782">
        <v>186</v>
      </c>
      <c r="E782" t="s">
        <v>1447</v>
      </c>
      <c r="F782" t="s">
        <v>1961</v>
      </c>
      <c r="G782" t="s">
        <v>1797</v>
      </c>
      <c r="H782" t="s">
        <v>1991</v>
      </c>
      <c r="I782" t="s">
        <v>1799</v>
      </c>
      <c r="J782" t="s">
        <v>1799</v>
      </c>
      <c r="K782" t="s">
        <v>1799</v>
      </c>
      <c r="L782" t="s">
        <v>1799</v>
      </c>
      <c r="M782" t="s">
        <v>1799</v>
      </c>
      <c r="N782" t="s">
        <v>1799</v>
      </c>
      <c r="O782" s="184" t="str">
        <f>"["&amp;$C782&amp;"]["&amp;$D782&amp;"]["&amp;$F782&amp;"]"</f>
        <v>[S05_DefaultValues][186][FuelMaterialType]</v>
      </c>
    </row>
    <row r="783" spans="1:15" x14ac:dyDescent="0.3">
      <c r="A783" t="s">
        <v>1793</v>
      </c>
      <c r="B783" t="s">
        <v>1950</v>
      </c>
      <c r="C783" t="s">
        <v>1959</v>
      </c>
      <c r="D783">
        <v>187</v>
      </c>
      <c r="E783" t="s">
        <v>1447</v>
      </c>
      <c r="F783" t="s">
        <v>1961</v>
      </c>
      <c r="G783" t="s">
        <v>1797</v>
      </c>
      <c r="H783" t="s">
        <v>1992</v>
      </c>
      <c r="I783" t="s">
        <v>1799</v>
      </c>
      <c r="J783" t="s">
        <v>1799</v>
      </c>
      <c r="K783" t="s">
        <v>1799</v>
      </c>
      <c r="L783" t="s">
        <v>1799</v>
      </c>
      <c r="M783" t="s">
        <v>1799</v>
      </c>
      <c r="N783" t="s">
        <v>1799</v>
      </c>
      <c r="O783" s="184" t="str">
        <f>"["&amp;$C783&amp;"]["&amp;$D783&amp;"]["&amp;$F783&amp;"]"</f>
        <v>[S05_DefaultValues][187][FuelMaterialType]</v>
      </c>
    </row>
    <row r="784" spans="1:15" x14ac:dyDescent="0.3">
      <c r="A784" t="s">
        <v>1793</v>
      </c>
      <c r="B784" t="s">
        <v>1950</v>
      </c>
      <c r="C784" t="s">
        <v>1959</v>
      </c>
      <c r="D784">
        <v>188</v>
      </c>
      <c r="E784" t="s">
        <v>1447</v>
      </c>
      <c r="F784" t="s">
        <v>1961</v>
      </c>
      <c r="G784" t="s">
        <v>1797</v>
      </c>
      <c r="H784" t="s">
        <v>1993</v>
      </c>
      <c r="I784" t="s">
        <v>1799</v>
      </c>
      <c r="J784" t="s">
        <v>1799</v>
      </c>
      <c r="K784" t="s">
        <v>1799</v>
      </c>
      <c r="L784" t="s">
        <v>1799</v>
      </c>
      <c r="M784" t="s">
        <v>1799</v>
      </c>
      <c r="N784" t="s">
        <v>1799</v>
      </c>
      <c r="O784" s="184" t="str">
        <f>"["&amp;$C784&amp;"]["&amp;$D784&amp;"]["&amp;$F784&amp;"]"</f>
        <v>[S05_DefaultValues][188][FuelMaterialType]</v>
      </c>
    </row>
    <row r="785" spans="1:15" x14ac:dyDescent="0.3">
      <c r="A785" t="s">
        <v>1793</v>
      </c>
      <c r="B785" t="s">
        <v>1950</v>
      </c>
      <c r="C785" t="s">
        <v>1959</v>
      </c>
      <c r="D785">
        <v>189</v>
      </c>
      <c r="E785" t="s">
        <v>1447</v>
      </c>
      <c r="F785" t="s">
        <v>1961</v>
      </c>
      <c r="G785" t="s">
        <v>1797</v>
      </c>
      <c r="H785" t="s">
        <v>1994</v>
      </c>
      <c r="I785" t="s">
        <v>1799</v>
      </c>
      <c r="J785" t="s">
        <v>1799</v>
      </c>
      <c r="K785" t="s">
        <v>1799</v>
      </c>
      <c r="L785" t="s">
        <v>1799</v>
      </c>
      <c r="M785" t="s">
        <v>1799</v>
      </c>
      <c r="N785" t="s">
        <v>1799</v>
      </c>
      <c r="O785" s="184" t="str">
        <f>"["&amp;$C785&amp;"]["&amp;$D785&amp;"]["&amp;$F785&amp;"]"</f>
        <v>[S05_DefaultValues][189][FuelMaterialType]</v>
      </c>
    </row>
    <row r="786" spans="1:15" x14ac:dyDescent="0.3">
      <c r="A786" t="s">
        <v>1793</v>
      </c>
      <c r="B786" t="s">
        <v>1950</v>
      </c>
      <c r="C786" t="s">
        <v>1959</v>
      </c>
      <c r="D786">
        <v>190</v>
      </c>
      <c r="E786" t="s">
        <v>1447</v>
      </c>
      <c r="F786" t="s">
        <v>1961</v>
      </c>
      <c r="G786" t="s">
        <v>1797</v>
      </c>
      <c r="H786" t="s">
        <v>1995</v>
      </c>
      <c r="I786" t="s">
        <v>1799</v>
      </c>
      <c r="J786" t="s">
        <v>1799</v>
      </c>
      <c r="K786" t="s">
        <v>1799</v>
      </c>
      <c r="L786" t="s">
        <v>1799</v>
      </c>
      <c r="M786" t="s">
        <v>1799</v>
      </c>
      <c r="N786" t="s">
        <v>1799</v>
      </c>
      <c r="O786" s="184" t="str">
        <f>"["&amp;$C786&amp;"]["&amp;$D786&amp;"]["&amp;$F786&amp;"]"</f>
        <v>[S05_DefaultValues][190][FuelMaterialType]</v>
      </c>
    </row>
    <row r="787" spans="1:15" x14ac:dyDescent="0.3">
      <c r="A787" t="s">
        <v>1793</v>
      </c>
      <c r="B787" t="s">
        <v>1950</v>
      </c>
      <c r="C787" t="s">
        <v>1959</v>
      </c>
      <c r="D787">
        <v>191</v>
      </c>
      <c r="E787" t="s">
        <v>1447</v>
      </c>
      <c r="F787" t="s">
        <v>1961</v>
      </c>
      <c r="G787" t="s">
        <v>1797</v>
      </c>
      <c r="H787" t="s">
        <v>1996</v>
      </c>
      <c r="I787" t="s">
        <v>1799</v>
      </c>
      <c r="J787" t="s">
        <v>1799</v>
      </c>
      <c r="K787" t="s">
        <v>1799</v>
      </c>
      <c r="L787" t="s">
        <v>1799</v>
      </c>
      <c r="M787" t="s">
        <v>1799</v>
      </c>
      <c r="N787" t="s">
        <v>1799</v>
      </c>
      <c r="O787" s="184" t="str">
        <f>"["&amp;$C787&amp;"]["&amp;$D787&amp;"]["&amp;$F787&amp;"]"</f>
        <v>[S05_DefaultValues][191][FuelMaterialType]</v>
      </c>
    </row>
    <row r="788" spans="1:15" x14ac:dyDescent="0.3">
      <c r="A788" t="s">
        <v>1793</v>
      </c>
      <c r="B788" t="s">
        <v>1950</v>
      </c>
      <c r="C788" t="s">
        <v>1959</v>
      </c>
      <c r="D788">
        <v>192</v>
      </c>
      <c r="E788" t="s">
        <v>1447</v>
      </c>
      <c r="F788" t="s">
        <v>1961</v>
      </c>
      <c r="G788" t="s">
        <v>1797</v>
      </c>
      <c r="H788" t="s">
        <v>1997</v>
      </c>
      <c r="I788" t="s">
        <v>1799</v>
      </c>
      <c r="J788" t="s">
        <v>1799</v>
      </c>
      <c r="K788" t="s">
        <v>1799</v>
      </c>
      <c r="L788" t="s">
        <v>1799</v>
      </c>
      <c r="M788" t="s">
        <v>1799</v>
      </c>
      <c r="N788" t="s">
        <v>1799</v>
      </c>
      <c r="O788" s="184" t="str">
        <f>"["&amp;$C788&amp;"]["&amp;$D788&amp;"]["&amp;$F788&amp;"]"</f>
        <v>[S05_DefaultValues][192][FuelMaterialType]</v>
      </c>
    </row>
    <row r="789" spans="1:15" x14ac:dyDescent="0.3">
      <c r="A789" t="s">
        <v>1793</v>
      </c>
      <c r="B789" t="s">
        <v>1950</v>
      </c>
      <c r="C789" t="s">
        <v>1959</v>
      </c>
      <c r="D789">
        <v>193</v>
      </c>
      <c r="E789" t="s">
        <v>1447</v>
      </c>
      <c r="F789" t="s">
        <v>1961</v>
      </c>
      <c r="G789" t="s">
        <v>1797</v>
      </c>
      <c r="H789" t="s">
        <v>2066</v>
      </c>
      <c r="I789" t="s">
        <v>1799</v>
      </c>
      <c r="J789" t="s">
        <v>1799</v>
      </c>
      <c r="K789" t="s">
        <v>1799</v>
      </c>
      <c r="L789" t="s">
        <v>1799</v>
      </c>
      <c r="M789" t="s">
        <v>1799</v>
      </c>
      <c r="N789" t="s">
        <v>1799</v>
      </c>
      <c r="O789" s="184" t="str">
        <f>"["&amp;$C789&amp;"]["&amp;$D789&amp;"]["&amp;$F789&amp;"]"</f>
        <v>[S05_DefaultValues][193][FuelMaterialType]</v>
      </c>
    </row>
    <row r="790" spans="1:15" x14ac:dyDescent="0.3">
      <c r="A790" t="s">
        <v>1793</v>
      </c>
      <c r="B790" t="s">
        <v>1950</v>
      </c>
      <c r="C790" t="s">
        <v>1959</v>
      </c>
      <c r="D790">
        <v>194</v>
      </c>
      <c r="E790" t="s">
        <v>1447</v>
      </c>
      <c r="F790" t="s">
        <v>1961</v>
      </c>
      <c r="G790" t="s">
        <v>1797</v>
      </c>
      <c r="H790" t="s">
        <v>2000</v>
      </c>
      <c r="I790" t="s">
        <v>1799</v>
      </c>
      <c r="J790" t="s">
        <v>1799</v>
      </c>
      <c r="K790" t="s">
        <v>1799</v>
      </c>
      <c r="L790" t="s">
        <v>1799</v>
      </c>
      <c r="M790" t="s">
        <v>1799</v>
      </c>
      <c r="N790" t="s">
        <v>1799</v>
      </c>
      <c r="O790" s="184" t="str">
        <f>"["&amp;$C790&amp;"]["&amp;$D790&amp;"]["&amp;$F790&amp;"]"</f>
        <v>[S05_DefaultValues][194][FuelMaterialType]</v>
      </c>
    </row>
    <row r="791" spans="1:15" x14ac:dyDescent="0.3">
      <c r="A791" t="s">
        <v>1793</v>
      </c>
      <c r="B791" t="s">
        <v>1950</v>
      </c>
      <c r="C791" t="s">
        <v>1959</v>
      </c>
      <c r="D791">
        <v>195</v>
      </c>
      <c r="E791" t="s">
        <v>1447</v>
      </c>
      <c r="F791" t="s">
        <v>1961</v>
      </c>
      <c r="G791" t="s">
        <v>1797</v>
      </c>
      <c r="H791" t="s">
        <v>2001</v>
      </c>
      <c r="I791" t="s">
        <v>1799</v>
      </c>
      <c r="J791" t="s">
        <v>1799</v>
      </c>
      <c r="K791" t="s">
        <v>1799</v>
      </c>
      <c r="L791" t="s">
        <v>1799</v>
      </c>
      <c r="M791" t="s">
        <v>1799</v>
      </c>
      <c r="N791" t="s">
        <v>1799</v>
      </c>
      <c r="O791" s="184" t="str">
        <f>"["&amp;$C791&amp;"]["&amp;$D791&amp;"]["&amp;$F791&amp;"]"</f>
        <v>[S05_DefaultValues][195][FuelMaterialType]</v>
      </c>
    </row>
    <row r="792" spans="1:15" x14ac:dyDescent="0.3">
      <c r="A792" t="s">
        <v>1793</v>
      </c>
      <c r="B792" t="s">
        <v>1950</v>
      </c>
      <c r="C792" t="s">
        <v>1959</v>
      </c>
      <c r="D792">
        <v>196</v>
      </c>
      <c r="E792" t="s">
        <v>1447</v>
      </c>
      <c r="F792" t="s">
        <v>1961</v>
      </c>
      <c r="G792" t="s">
        <v>1797</v>
      </c>
      <c r="H792" t="s">
        <v>2002</v>
      </c>
      <c r="I792" t="s">
        <v>1799</v>
      </c>
      <c r="J792" t="s">
        <v>1799</v>
      </c>
      <c r="K792" t="s">
        <v>1799</v>
      </c>
      <c r="L792" t="s">
        <v>1799</v>
      </c>
      <c r="M792" t="s">
        <v>1799</v>
      </c>
      <c r="N792" t="s">
        <v>1799</v>
      </c>
      <c r="O792" s="184" t="str">
        <f>"["&amp;$C792&amp;"]["&amp;$D792&amp;"]["&amp;$F792&amp;"]"</f>
        <v>[S05_DefaultValues][196][FuelMaterialType]</v>
      </c>
    </row>
    <row r="793" spans="1:15" x14ac:dyDescent="0.3">
      <c r="A793" t="s">
        <v>1793</v>
      </c>
      <c r="B793" t="s">
        <v>1950</v>
      </c>
      <c r="C793" t="s">
        <v>1959</v>
      </c>
      <c r="D793">
        <v>197</v>
      </c>
      <c r="E793" t="s">
        <v>1447</v>
      </c>
      <c r="F793" t="s">
        <v>1961</v>
      </c>
      <c r="G793" t="s">
        <v>1797</v>
      </c>
      <c r="H793" t="s">
        <v>2004</v>
      </c>
      <c r="I793" t="s">
        <v>1799</v>
      </c>
      <c r="J793" t="s">
        <v>1799</v>
      </c>
      <c r="K793" t="s">
        <v>1799</v>
      </c>
      <c r="L793" t="s">
        <v>1799</v>
      </c>
      <c r="M793" t="s">
        <v>1799</v>
      </c>
      <c r="N793" t="s">
        <v>1799</v>
      </c>
      <c r="O793" s="184" t="str">
        <f>"["&amp;$C793&amp;"]["&amp;$D793&amp;"]["&amp;$F793&amp;"]"</f>
        <v>[S05_DefaultValues][197][FuelMaterialType]</v>
      </c>
    </row>
    <row r="794" spans="1:15" x14ac:dyDescent="0.3">
      <c r="A794" t="s">
        <v>1793</v>
      </c>
      <c r="B794" t="s">
        <v>1950</v>
      </c>
      <c r="C794" t="s">
        <v>1959</v>
      </c>
      <c r="D794">
        <v>198</v>
      </c>
      <c r="E794" t="s">
        <v>1447</v>
      </c>
      <c r="F794" t="s">
        <v>1961</v>
      </c>
      <c r="G794" t="s">
        <v>1797</v>
      </c>
      <c r="H794" t="s">
        <v>2006</v>
      </c>
      <c r="I794" t="s">
        <v>1799</v>
      </c>
      <c r="J794" t="s">
        <v>1799</v>
      </c>
      <c r="K794" t="s">
        <v>1799</v>
      </c>
      <c r="L794" t="s">
        <v>1799</v>
      </c>
      <c r="M794" t="s">
        <v>1799</v>
      </c>
      <c r="N794" t="s">
        <v>1799</v>
      </c>
      <c r="O794" s="184" t="str">
        <f>"["&amp;$C794&amp;"]["&amp;$D794&amp;"]["&amp;$F794&amp;"]"</f>
        <v>[S05_DefaultValues][198][FuelMaterialType]</v>
      </c>
    </row>
    <row r="795" spans="1:15" x14ac:dyDescent="0.3">
      <c r="A795" t="s">
        <v>1793</v>
      </c>
      <c r="B795" t="s">
        <v>1950</v>
      </c>
      <c r="C795" t="s">
        <v>1959</v>
      </c>
      <c r="D795">
        <v>199</v>
      </c>
      <c r="E795" t="s">
        <v>1447</v>
      </c>
      <c r="F795" t="s">
        <v>1961</v>
      </c>
      <c r="G795" t="s">
        <v>1797</v>
      </c>
      <c r="H795" t="s">
        <v>2007</v>
      </c>
      <c r="I795" t="s">
        <v>1799</v>
      </c>
      <c r="J795" t="s">
        <v>1799</v>
      </c>
      <c r="K795" t="s">
        <v>1799</v>
      </c>
      <c r="L795" t="s">
        <v>1799</v>
      </c>
      <c r="M795" t="s">
        <v>1799</v>
      </c>
      <c r="N795" t="s">
        <v>1799</v>
      </c>
      <c r="O795" s="184" t="str">
        <f>"["&amp;$C795&amp;"]["&amp;$D795&amp;"]["&amp;$F795&amp;"]"</f>
        <v>[S05_DefaultValues][199][FuelMaterialType]</v>
      </c>
    </row>
    <row r="796" spans="1:15" x14ac:dyDescent="0.3">
      <c r="A796" t="s">
        <v>1793</v>
      </c>
      <c r="B796" t="s">
        <v>1950</v>
      </c>
      <c r="C796" t="s">
        <v>1959</v>
      </c>
      <c r="D796">
        <v>200</v>
      </c>
      <c r="E796" t="s">
        <v>1447</v>
      </c>
      <c r="F796" t="s">
        <v>1961</v>
      </c>
      <c r="G796" t="s">
        <v>1797</v>
      </c>
      <c r="H796" t="s">
        <v>2008</v>
      </c>
      <c r="I796" t="s">
        <v>1799</v>
      </c>
      <c r="J796" t="s">
        <v>1799</v>
      </c>
      <c r="K796" t="s">
        <v>1799</v>
      </c>
      <c r="L796" t="s">
        <v>1799</v>
      </c>
      <c r="M796" t="s">
        <v>1799</v>
      </c>
      <c r="N796" t="s">
        <v>1799</v>
      </c>
      <c r="O796" s="184" t="str">
        <f>"["&amp;$C796&amp;"]["&amp;$D796&amp;"]["&amp;$F796&amp;"]"</f>
        <v>[S05_DefaultValues][200][FuelMaterialType]</v>
      </c>
    </row>
    <row r="797" spans="1:15" x14ac:dyDescent="0.3">
      <c r="A797" t="s">
        <v>1793</v>
      </c>
      <c r="B797" t="s">
        <v>1950</v>
      </c>
      <c r="C797" t="s">
        <v>1959</v>
      </c>
      <c r="D797">
        <v>201</v>
      </c>
      <c r="E797" t="s">
        <v>1447</v>
      </c>
      <c r="F797" t="s">
        <v>1961</v>
      </c>
      <c r="G797" t="s">
        <v>1797</v>
      </c>
      <c r="H797" t="s">
        <v>2009</v>
      </c>
      <c r="I797" t="s">
        <v>1799</v>
      </c>
      <c r="J797" t="s">
        <v>1799</v>
      </c>
      <c r="K797" t="s">
        <v>1799</v>
      </c>
      <c r="L797" t="s">
        <v>1799</v>
      </c>
      <c r="M797" t="s">
        <v>1799</v>
      </c>
      <c r="N797" t="s">
        <v>1799</v>
      </c>
      <c r="O797" s="184" t="str">
        <f>"["&amp;$C797&amp;"]["&amp;$D797&amp;"]["&amp;$F797&amp;"]"</f>
        <v>[S05_DefaultValues][201][FuelMaterialType]</v>
      </c>
    </row>
    <row r="798" spans="1:15" x14ac:dyDescent="0.3">
      <c r="A798" t="s">
        <v>1793</v>
      </c>
      <c r="B798" t="s">
        <v>1950</v>
      </c>
      <c r="C798" t="s">
        <v>1959</v>
      </c>
      <c r="D798">
        <v>202</v>
      </c>
      <c r="E798" t="s">
        <v>1447</v>
      </c>
      <c r="F798" t="s">
        <v>1961</v>
      </c>
      <c r="G798" t="s">
        <v>1797</v>
      </c>
      <c r="H798" t="s">
        <v>2051</v>
      </c>
      <c r="I798" t="s">
        <v>1799</v>
      </c>
      <c r="J798" t="s">
        <v>1799</v>
      </c>
      <c r="K798" t="s">
        <v>1799</v>
      </c>
      <c r="L798" t="s">
        <v>1799</v>
      </c>
      <c r="M798" t="s">
        <v>1799</v>
      </c>
      <c r="N798" t="s">
        <v>1799</v>
      </c>
      <c r="O798" s="184" t="str">
        <f>"["&amp;$C798&amp;"]["&amp;$D798&amp;"]["&amp;$F798&amp;"]"</f>
        <v>[S05_DefaultValues][202][FuelMaterialType]</v>
      </c>
    </row>
    <row r="799" spans="1:15" x14ac:dyDescent="0.3">
      <c r="A799" t="s">
        <v>1793</v>
      </c>
      <c r="B799" t="s">
        <v>1950</v>
      </c>
      <c r="C799" t="s">
        <v>1959</v>
      </c>
      <c r="D799">
        <v>203</v>
      </c>
      <c r="E799" t="s">
        <v>1447</v>
      </c>
      <c r="F799" t="s">
        <v>1961</v>
      </c>
      <c r="G799" t="s">
        <v>1797</v>
      </c>
      <c r="H799" t="s">
        <v>2010</v>
      </c>
      <c r="I799" t="s">
        <v>1799</v>
      </c>
      <c r="J799" t="s">
        <v>1799</v>
      </c>
      <c r="K799" t="s">
        <v>1799</v>
      </c>
      <c r="L799" t="s">
        <v>1799</v>
      </c>
      <c r="M799" t="s">
        <v>1799</v>
      </c>
      <c r="N799" t="s">
        <v>1799</v>
      </c>
      <c r="O799" s="184" t="str">
        <f>"["&amp;$C799&amp;"]["&amp;$D799&amp;"]["&amp;$F799&amp;"]"</f>
        <v>[S05_DefaultValues][203][FuelMaterialType]</v>
      </c>
    </row>
    <row r="800" spans="1:15" x14ac:dyDescent="0.3">
      <c r="A800" t="s">
        <v>1793</v>
      </c>
      <c r="B800" t="s">
        <v>1950</v>
      </c>
      <c r="C800" t="s">
        <v>1959</v>
      </c>
      <c r="D800">
        <v>204</v>
      </c>
      <c r="E800" t="s">
        <v>1447</v>
      </c>
      <c r="F800" t="s">
        <v>1961</v>
      </c>
      <c r="G800" t="s">
        <v>1797</v>
      </c>
      <c r="H800" t="s">
        <v>2012</v>
      </c>
      <c r="I800" t="s">
        <v>1799</v>
      </c>
      <c r="J800" t="s">
        <v>1799</v>
      </c>
      <c r="K800" t="s">
        <v>1799</v>
      </c>
      <c r="L800" t="s">
        <v>1799</v>
      </c>
      <c r="M800" t="s">
        <v>1799</v>
      </c>
      <c r="N800" t="s">
        <v>1799</v>
      </c>
      <c r="O800" s="184" t="str">
        <f>"["&amp;$C800&amp;"]["&amp;$D800&amp;"]["&amp;$F800&amp;"]"</f>
        <v>[S05_DefaultValues][204][FuelMaterialType]</v>
      </c>
    </row>
    <row r="801" spans="1:15" x14ac:dyDescent="0.3">
      <c r="A801" t="s">
        <v>1793</v>
      </c>
      <c r="B801" t="s">
        <v>1950</v>
      </c>
      <c r="C801" t="s">
        <v>1959</v>
      </c>
      <c r="D801">
        <v>205</v>
      </c>
      <c r="E801" t="s">
        <v>1447</v>
      </c>
      <c r="F801" t="s">
        <v>1961</v>
      </c>
      <c r="G801" t="s">
        <v>1797</v>
      </c>
      <c r="H801" t="s">
        <v>2014</v>
      </c>
      <c r="I801" t="s">
        <v>1799</v>
      </c>
      <c r="J801" t="s">
        <v>1799</v>
      </c>
      <c r="K801" t="s">
        <v>1799</v>
      </c>
      <c r="L801" t="s">
        <v>1799</v>
      </c>
      <c r="M801" t="s">
        <v>1799</v>
      </c>
      <c r="N801" t="s">
        <v>1799</v>
      </c>
      <c r="O801" s="184" t="str">
        <f>"["&amp;$C801&amp;"]["&amp;$D801&amp;"]["&amp;$F801&amp;"]"</f>
        <v>[S05_DefaultValues][205][FuelMaterialType]</v>
      </c>
    </row>
    <row r="802" spans="1:15" x14ac:dyDescent="0.3">
      <c r="A802" t="s">
        <v>1793</v>
      </c>
      <c r="B802" t="s">
        <v>1950</v>
      </c>
      <c r="C802" t="s">
        <v>1959</v>
      </c>
      <c r="D802">
        <v>206</v>
      </c>
      <c r="E802" t="s">
        <v>1447</v>
      </c>
      <c r="F802" t="s">
        <v>1961</v>
      </c>
      <c r="G802" t="s">
        <v>1797</v>
      </c>
      <c r="H802" t="s">
        <v>2015</v>
      </c>
      <c r="I802" t="s">
        <v>1799</v>
      </c>
      <c r="J802" t="s">
        <v>1799</v>
      </c>
      <c r="K802" t="s">
        <v>1799</v>
      </c>
      <c r="L802" t="s">
        <v>1799</v>
      </c>
      <c r="M802" t="s">
        <v>1799</v>
      </c>
      <c r="N802" t="s">
        <v>1799</v>
      </c>
      <c r="O802" s="184" t="str">
        <f>"["&amp;$C802&amp;"]["&amp;$D802&amp;"]["&amp;$F802&amp;"]"</f>
        <v>[S05_DefaultValues][206][FuelMaterialType]</v>
      </c>
    </row>
    <row r="803" spans="1:15" x14ac:dyDescent="0.3">
      <c r="A803" t="s">
        <v>1793</v>
      </c>
      <c r="B803" t="s">
        <v>1950</v>
      </c>
      <c r="C803" t="s">
        <v>1959</v>
      </c>
      <c r="D803">
        <v>207</v>
      </c>
      <c r="E803" t="s">
        <v>1447</v>
      </c>
      <c r="F803" t="s">
        <v>1961</v>
      </c>
      <c r="G803" t="s">
        <v>1797</v>
      </c>
      <c r="H803" t="s">
        <v>2067</v>
      </c>
      <c r="I803" t="s">
        <v>1799</v>
      </c>
      <c r="J803" t="s">
        <v>1799</v>
      </c>
      <c r="K803" t="s">
        <v>1799</v>
      </c>
      <c r="L803" t="s">
        <v>1799</v>
      </c>
      <c r="M803" t="s">
        <v>1799</v>
      </c>
      <c r="N803" t="s">
        <v>1799</v>
      </c>
      <c r="O803" s="184" t="str">
        <f>"["&amp;$C803&amp;"]["&amp;$D803&amp;"]["&amp;$F803&amp;"]"</f>
        <v>[S05_DefaultValues][207][FuelMaterialType]</v>
      </c>
    </row>
    <row r="804" spans="1:15" x14ac:dyDescent="0.3">
      <c r="A804" t="s">
        <v>1793</v>
      </c>
      <c r="B804" t="s">
        <v>1950</v>
      </c>
      <c r="C804" t="s">
        <v>1959</v>
      </c>
      <c r="D804">
        <v>208</v>
      </c>
      <c r="E804" t="s">
        <v>1447</v>
      </c>
      <c r="F804" t="s">
        <v>1961</v>
      </c>
      <c r="G804" t="s">
        <v>1797</v>
      </c>
      <c r="H804" t="s">
        <v>2017</v>
      </c>
      <c r="I804" t="s">
        <v>1799</v>
      </c>
      <c r="J804" t="s">
        <v>1799</v>
      </c>
      <c r="K804" t="s">
        <v>1799</v>
      </c>
      <c r="L804" t="s">
        <v>1799</v>
      </c>
      <c r="M804" t="s">
        <v>1799</v>
      </c>
      <c r="N804" t="s">
        <v>1799</v>
      </c>
      <c r="O804" s="184" t="str">
        <f>"["&amp;$C804&amp;"]["&amp;$D804&amp;"]["&amp;$F804&amp;"]"</f>
        <v>[S05_DefaultValues][208][FuelMaterialType]</v>
      </c>
    </row>
    <row r="805" spans="1:15" x14ac:dyDescent="0.3">
      <c r="A805" t="s">
        <v>1793</v>
      </c>
      <c r="B805" t="s">
        <v>1950</v>
      </c>
      <c r="C805" t="s">
        <v>1959</v>
      </c>
      <c r="D805">
        <v>209</v>
      </c>
      <c r="E805" t="s">
        <v>1447</v>
      </c>
      <c r="F805" t="s">
        <v>1961</v>
      </c>
      <c r="G805" t="s">
        <v>1797</v>
      </c>
      <c r="H805" t="s">
        <v>2018</v>
      </c>
      <c r="I805" t="s">
        <v>1799</v>
      </c>
      <c r="J805" t="s">
        <v>1799</v>
      </c>
      <c r="K805" t="s">
        <v>1799</v>
      </c>
      <c r="L805" t="s">
        <v>1799</v>
      </c>
      <c r="M805" t="s">
        <v>1799</v>
      </c>
      <c r="N805" t="s">
        <v>1799</v>
      </c>
      <c r="O805" s="184" t="str">
        <f>"["&amp;$C805&amp;"]["&amp;$D805&amp;"]["&amp;$F805&amp;"]"</f>
        <v>[S05_DefaultValues][209][FuelMaterialType]</v>
      </c>
    </row>
    <row r="806" spans="1:15" x14ac:dyDescent="0.3">
      <c r="A806" t="s">
        <v>1793</v>
      </c>
      <c r="B806" t="s">
        <v>1950</v>
      </c>
      <c r="C806" t="s">
        <v>1959</v>
      </c>
      <c r="D806">
        <v>210</v>
      </c>
      <c r="E806" t="s">
        <v>1447</v>
      </c>
      <c r="F806" t="s">
        <v>1961</v>
      </c>
      <c r="G806" t="s">
        <v>1797</v>
      </c>
      <c r="H806" t="s">
        <v>2019</v>
      </c>
      <c r="I806" t="s">
        <v>1799</v>
      </c>
      <c r="J806" t="s">
        <v>1799</v>
      </c>
      <c r="K806" t="s">
        <v>1799</v>
      </c>
      <c r="L806" t="s">
        <v>1799</v>
      </c>
      <c r="M806" t="s">
        <v>1799</v>
      </c>
      <c r="N806" t="s">
        <v>1799</v>
      </c>
      <c r="O806" s="184" t="str">
        <f>"["&amp;$C806&amp;"]["&amp;$D806&amp;"]["&amp;$F806&amp;"]"</f>
        <v>[S05_DefaultValues][210][FuelMaterialType]</v>
      </c>
    </row>
    <row r="807" spans="1:15" x14ac:dyDescent="0.3">
      <c r="A807" t="s">
        <v>1793</v>
      </c>
      <c r="B807" t="s">
        <v>1950</v>
      </c>
      <c r="C807" t="s">
        <v>1959</v>
      </c>
      <c r="D807">
        <v>211</v>
      </c>
      <c r="E807" t="s">
        <v>1447</v>
      </c>
      <c r="F807" t="s">
        <v>1961</v>
      </c>
      <c r="G807" t="s">
        <v>1797</v>
      </c>
      <c r="H807" t="s">
        <v>2020</v>
      </c>
      <c r="I807" t="s">
        <v>1799</v>
      </c>
      <c r="J807" t="s">
        <v>1799</v>
      </c>
      <c r="K807" t="s">
        <v>1799</v>
      </c>
      <c r="L807" t="s">
        <v>1799</v>
      </c>
      <c r="M807" t="s">
        <v>1799</v>
      </c>
      <c r="N807" t="s">
        <v>1799</v>
      </c>
      <c r="O807" s="184" t="str">
        <f>"["&amp;$C807&amp;"]["&amp;$D807&amp;"]["&amp;$F807&amp;"]"</f>
        <v>[S05_DefaultValues][211][FuelMaterialType]</v>
      </c>
    </row>
    <row r="808" spans="1:15" x14ac:dyDescent="0.3">
      <c r="A808" t="s">
        <v>1793</v>
      </c>
      <c r="B808" t="s">
        <v>1950</v>
      </c>
      <c r="C808" t="s">
        <v>1959</v>
      </c>
      <c r="D808">
        <v>212</v>
      </c>
      <c r="E808" t="s">
        <v>1447</v>
      </c>
      <c r="F808" t="s">
        <v>1961</v>
      </c>
      <c r="G808" t="s">
        <v>1797</v>
      </c>
      <c r="H808" t="s">
        <v>2021</v>
      </c>
      <c r="I808" t="s">
        <v>1799</v>
      </c>
      <c r="J808" t="s">
        <v>1799</v>
      </c>
      <c r="K808" t="s">
        <v>1799</v>
      </c>
      <c r="L808" t="s">
        <v>1799</v>
      </c>
      <c r="M808" t="s">
        <v>1799</v>
      </c>
      <c r="N808" t="s">
        <v>1799</v>
      </c>
      <c r="O808" s="184" t="str">
        <f>"["&amp;$C808&amp;"]["&amp;$D808&amp;"]["&amp;$F808&amp;"]"</f>
        <v>[S05_DefaultValues][212][FuelMaterialType]</v>
      </c>
    </row>
    <row r="809" spans="1:15" x14ac:dyDescent="0.3">
      <c r="A809" t="s">
        <v>1793</v>
      </c>
      <c r="B809" t="s">
        <v>1950</v>
      </c>
      <c r="C809" t="s">
        <v>1959</v>
      </c>
      <c r="D809">
        <v>213</v>
      </c>
      <c r="E809" t="s">
        <v>1447</v>
      </c>
      <c r="F809" t="s">
        <v>1961</v>
      </c>
      <c r="G809" t="s">
        <v>1797</v>
      </c>
      <c r="H809" t="s">
        <v>2024</v>
      </c>
      <c r="I809" t="s">
        <v>1799</v>
      </c>
      <c r="J809" t="s">
        <v>1799</v>
      </c>
      <c r="K809" t="s">
        <v>1799</v>
      </c>
      <c r="L809" t="s">
        <v>1799</v>
      </c>
      <c r="M809" t="s">
        <v>1799</v>
      </c>
      <c r="N809" t="s">
        <v>1799</v>
      </c>
      <c r="O809" s="184" t="str">
        <f>"["&amp;$C809&amp;"]["&amp;$D809&amp;"]["&amp;$F809&amp;"]"</f>
        <v>[S05_DefaultValues][213][FuelMaterialType]</v>
      </c>
    </row>
    <row r="810" spans="1:15" x14ac:dyDescent="0.3">
      <c r="A810" t="s">
        <v>1793</v>
      </c>
      <c r="B810" t="s">
        <v>1950</v>
      </c>
      <c r="C810" t="s">
        <v>1959</v>
      </c>
      <c r="D810">
        <v>214</v>
      </c>
      <c r="E810" t="s">
        <v>1447</v>
      </c>
      <c r="F810" t="s">
        <v>1961</v>
      </c>
      <c r="G810" t="s">
        <v>1797</v>
      </c>
      <c r="H810" t="s">
        <v>2068</v>
      </c>
      <c r="I810" t="s">
        <v>1799</v>
      </c>
      <c r="J810" t="s">
        <v>1799</v>
      </c>
      <c r="K810" t="s">
        <v>1799</v>
      </c>
      <c r="L810" t="s">
        <v>1799</v>
      </c>
      <c r="M810" t="s">
        <v>1799</v>
      </c>
      <c r="N810" t="s">
        <v>1799</v>
      </c>
      <c r="O810" s="184" t="str">
        <f>"["&amp;$C810&amp;"]["&amp;$D810&amp;"]["&amp;$F810&amp;"]"</f>
        <v>[S05_DefaultValues][214][FuelMaterialType]</v>
      </c>
    </row>
    <row r="811" spans="1:15" x14ac:dyDescent="0.3">
      <c r="A811" t="s">
        <v>1793</v>
      </c>
      <c r="B811" t="s">
        <v>1950</v>
      </c>
      <c r="C811" t="s">
        <v>1959</v>
      </c>
      <c r="D811">
        <v>215</v>
      </c>
      <c r="E811" t="s">
        <v>1447</v>
      </c>
      <c r="F811" t="s">
        <v>1961</v>
      </c>
      <c r="G811" t="s">
        <v>1797</v>
      </c>
      <c r="H811" t="s">
        <v>2069</v>
      </c>
      <c r="I811" t="s">
        <v>1799</v>
      </c>
      <c r="J811" t="s">
        <v>1799</v>
      </c>
      <c r="K811" t="s">
        <v>1799</v>
      </c>
      <c r="L811" t="s">
        <v>1799</v>
      </c>
      <c r="M811" t="s">
        <v>1799</v>
      </c>
      <c r="N811" t="s">
        <v>1799</v>
      </c>
      <c r="O811" s="184" t="str">
        <f>"["&amp;$C811&amp;"]["&amp;$D811&amp;"]["&amp;$F811&amp;"]"</f>
        <v>[S05_DefaultValues][215][FuelMaterialType]</v>
      </c>
    </row>
    <row r="812" spans="1:15" x14ac:dyDescent="0.3">
      <c r="A812" t="s">
        <v>1793</v>
      </c>
      <c r="B812" t="s">
        <v>1950</v>
      </c>
      <c r="C812" t="s">
        <v>1959</v>
      </c>
      <c r="D812">
        <v>216</v>
      </c>
      <c r="E812" t="s">
        <v>1447</v>
      </c>
      <c r="F812" t="s">
        <v>1961</v>
      </c>
      <c r="G812" t="s">
        <v>1797</v>
      </c>
      <c r="H812" t="s">
        <v>2070</v>
      </c>
      <c r="I812" t="s">
        <v>1799</v>
      </c>
      <c r="J812" t="s">
        <v>1799</v>
      </c>
      <c r="K812" t="s">
        <v>1799</v>
      </c>
      <c r="L812" t="s">
        <v>1799</v>
      </c>
      <c r="M812" t="s">
        <v>1799</v>
      </c>
      <c r="N812" t="s">
        <v>1799</v>
      </c>
      <c r="O812" s="184" t="str">
        <f>"["&amp;$C812&amp;"]["&amp;$D812&amp;"]["&amp;$F812&amp;"]"</f>
        <v>[S05_DefaultValues][216][FuelMaterialType]</v>
      </c>
    </row>
    <row r="813" spans="1:15" x14ac:dyDescent="0.3">
      <c r="A813" t="s">
        <v>1793</v>
      </c>
      <c r="B813" t="s">
        <v>1950</v>
      </c>
      <c r="C813" t="s">
        <v>1959</v>
      </c>
      <c r="D813">
        <v>217</v>
      </c>
      <c r="E813" t="s">
        <v>1447</v>
      </c>
      <c r="F813" t="s">
        <v>1961</v>
      </c>
      <c r="G813" t="s">
        <v>1797</v>
      </c>
      <c r="H813" t="s">
        <v>2027</v>
      </c>
      <c r="I813" t="s">
        <v>1799</v>
      </c>
      <c r="J813" t="s">
        <v>1799</v>
      </c>
      <c r="K813" t="s">
        <v>1799</v>
      </c>
      <c r="L813" t="s">
        <v>1799</v>
      </c>
      <c r="M813" t="s">
        <v>1799</v>
      </c>
      <c r="N813" t="s">
        <v>1799</v>
      </c>
      <c r="O813" s="184" t="str">
        <f>"["&amp;$C813&amp;"]["&amp;$D813&amp;"]["&amp;$F813&amp;"]"</f>
        <v>[S05_DefaultValues][217][FuelMaterialType]</v>
      </c>
    </row>
    <row r="814" spans="1:15" x14ac:dyDescent="0.3">
      <c r="A814" t="s">
        <v>1793</v>
      </c>
      <c r="B814" t="s">
        <v>1950</v>
      </c>
      <c r="C814" t="s">
        <v>1959</v>
      </c>
      <c r="D814">
        <v>218</v>
      </c>
      <c r="E814" t="s">
        <v>1447</v>
      </c>
      <c r="F814" t="s">
        <v>1961</v>
      </c>
      <c r="G814" t="s">
        <v>1797</v>
      </c>
      <c r="H814" t="s">
        <v>2028</v>
      </c>
      <c r="I814" t="s">
        <v>1799</v>
      </c>
      <c r="J814" t="s">
        <v>1799</v>
      </c>
      <c r="K814" t="s">
        <v>1799</v>
      </c>
      <c r="L814" t="s">
        <v>1799</v>
      </c>
      <c r="M814" t="s">
        <v>1799</v>
      </c>
      <c r="N814" t="s">
        <v>1799</v>
      </c>
      <c r="O814" s="184" t="str">
        <f>"["&amp;$C814&amp;"]["&amp;$D814&amp;"]["&amp;$F814&amp;"]"</f>
        <v>[S05_DefaultValues][218][FuelMaterialType]</v>
      </c>
    </row>
    <row r="815" spans="1:15" x14ac:dyDescent="0.3">
      <c r="A815" t="s">
        <v>1793</v>
      </c>
      <c r="B815" t="s">
        <v>1950</v>
      </c>
      <c r="C815" t="s">
        <v>1959</v>
      </c>
      <c r="D815">
        <v>219</v>
      </c>
      <c r="E815" t="s">
        <v>1447</v>
      </c>
      <c r="F815" t="s">
        <v>1961</v>
      </c>
      <c r="G815" t="s">
        <v>1797</v>
      </c>
      <c r="H815" t="s">
        <v>2071</v>
      </c>
      <c r="I815" t="s">
        <v>1799</v>
      </c>
      <c r="J815" t="s">
        <v>1799</v>
      </c>
      <c r="K815" t="s">
        <v>1799</v>
      </c>
      <c r="L815" t="s">
        <v>1799</v>
      </c>
      <c r="M815" t="s">
        <v>1799</v>
      </c>
      <c r="N815" t="s">
        <v>1799</v>
      </c>
      <c r="O815" s="184" t="str">
        <f>"["&amp;$C815&amp;"]["&amp;$D815&amp;"]["&amp;$F815&amp;"]"</f>
        <v>[S05_DefaultValues][219][FuelMaterialType]</v>
      </c>
    </row>
    <row r="816" spans="1:15" x14ac:dyDescent="0.3">
      <c r="A816" t="s">
        <v>1793</v>
      </c>
      <c r="B816" t="s">
        <v>1950</v>
      </c>
      <c r="C816" t="s">
        <v>1959</v>
      </c>
      <c r="D816">
        <v>220</v>
      </c>
      <c r="E816" t="s">
        <v>1447</v>
      </c>
      <c r="F816" t="s">
        <v>1961</v>
      </c>
      <c r="G816" t="s">
        <v>1797</v>
      </c>
      <c r="H816" t="s">
        <v>2029</v>
      </c>
      <c r="I816" t="s">
        <v>1799</v>
      </c>
      <c r="J816" t="s">
        <v>1799</v>
      </c>
      <c r="K816" t="s">
        <v>1799</v>
      </c>
      <c r="L816" t="s">
        <v>1799</v>
      </c>
      <c r="M816" t="s">
        <v>1799</v>
      </c>
      <c r="N816" t="s">
        <v>1799</v>
      </c>
      <c r="O816" s="184" t="str">
        <f>"["&amp;$C816&amp;"]["&amp;$D816&amp;"]["&amp;$F816&amp;"]"</f>
        <v>[S05_DefaultValues][220][FuelMaterialType]</v>
      </c>
    </row>
    <row r="817" spans="1:15" x14ac:dyDescent="0.3">
      <c r="A817" t="s">
        <v>1793</v>
      </c>
      <c r="B817" t="s">
        <v>1950</v>
      </c>
      <c r="C817" t="s">
        <v>1959</v>
      </c>
      <c r="D817">
        <v>221</v>
      </c>
      <c r="E817" t="s">
        <v>1447</v>
      </c>
      <c r="F817" t="s">
        <v>1961</v>
      </c>
      <c r="G817" t="s">
        <v>1797</v>
      </c>
      <c r="H817" t="s">
        <v>2072</v>
      </c>
      <c r="I817" t="s">
        <v>1799</v>
      </c>
      <c r="J817" t="s">
        <v>1799</v>
      </c>
      <c r="K817" t="s">
        <v>1799</v>
      </c>
      <c r="L817" t="s">
        <v>1799</v>
      </c>
      <c r="M817" t="s">
        <v>1799</v>
      </c>
      <c r="N817" t="s">
        <v>1799</v>
      </c>
      <c r="O817" s="184" t="str">
        <f>"["&amp;$C817&amp;"]["&amp;$D817&amp;"]["&amp;$F817&amp;"]"</f>
        <v>[S05_DefaultValues][221][FuelMaterialType]</v>
      </c>
    </row>
    <row r="818" spans="1:15" x14ac:dyDescent="0.3">
      <c r="A818" t="s">
        <v>1793</v>
      </c>
      <c r="B818" t="s">
        <v>1950</v>
      </c>
      <c r="C818" t="s">
        <v>1959</v>
      </c>
      <c r="D818">
        <v>222</v>
      </c>
      <c r="E818" t="s">
        <v>1447</v>
      </c>
      <c r="F818" t="s">
        <v>1961</v>
      </c>
      <c r="G818" t="s">
        <v>1797</v>
      </c>
      <c r="H818" t="s">
        <v>2032</v>
      </c>
      <c r="I818" t="s">
        <v>1799</v>
      </c>
      <c r="J818" t="s">
        <v>1799</v>
      </c>
      <c r="K818" t="s">
        <v>1799</v>
      </c>
      <c r="L818" t="s">
        <v>1799</v>
      </c>
      <c r="M818" t="s">
        <v>1799</v>
      </c>
      <c r="N818" t="s">
        <v>1799</v>
      </c>
      <c r="O818" s="184" t="str">
        <f>"["&amp;$C818&amp;"]["&amp;$D818&amp;"]["&amp;$F818&amp;"]"</f>
        <v>[S05_DefaultValues][222][FuelMaterialType]</v>
      </c>
    </row>
    <row r="819" spans="1:15" x14ac:dyDescent="0.3">
      <c r="A819" t="s">
        <v>1793</v>
      </c>
      <c r="B819" t="s">
        <v>1950</v>
      </c>
      <c r="C819" t="s">
        <v>1959</v>
      </c>
      <c r="D819">
        <v>223</v>
      </c>
      <c r="E819" t="s">
        <v>1447</v>
      </c>
      <c r="F819" t="s">
        <v>1961</v>
      </c>
      <c r="G819" t="s">
        <v>1797</v>
      </c>
      <c r="H819" t="s">
        <v>2073</v>
      </c>
      <c r="I819" t="s">
        <v>1799</v>
      </c>
      <c r="J819" t="s">
        <v>1799</v>
      </c>
      <c r="K819" t="s">
        <v>1799</v>
      </c>
      <c r="L819" t="s">
        <v>1799</v>
      </c>
      <c r="M819" t="s">
        <v>1799</v>
      </c>
      <c r="N819" t="s">
        <v>1799</v>
      </c>
      <c r="O819" s="184" t="str">
        <f>"["&amp;$C819&amp;"]["&amp;$D819&amp;"]["&amp;$F819&amp;"]"</f>
        <v>[S05_DefaultValues][223][FuelMaterialType]</v>
      </c>
    </row>
    <row r="820" spans="1:15" x14ac:dyDescent="0.3">
      <c r="A820" t="s">
        <v>1793</v>
      </c>
      <c r="B820" t="s">
        <v>1950</v>
      </c>
      <c r="C820" t="s">
        <v>1959</v>
      </c>
      <c r="D820">
        <v>224</v>
      </c>
      <c r="E820" t="s">
        <v>1447</v>
      </c>
      <c r="F820" t="s">
        <v>1961</v>
      </c>
      <c r="G820" t="s">
        <v>1797</v>
      </c>
      <c r="H820" t="s">
        <v>2034</v>
      </c>
      <c r="I820" t="s">
        <v>1799</v>
      </c>
      <c r="J820" t="s">
        <v>1799</v>
      </c>
      <c r="K820" t="s">
        <v>1799</v>
      </c>
      <c r="L820" t="s">
        <v>1799</v>
      </c>
      <c r="M820" t="s">
        <v>1799</v>
      </c>
      <c r="N820" t="s">
        <v>1799</v>
      </c>
      <c r="O820" s="184" t="str">
        <f>"["&amp;$C820&amp;"]["&amp;$D820&amp;"]["&amp;$F820&amp;"]"</f>
        <v>[S05_DefaultValues][224][FuelMaterialType]</v>
      </c>
    </row>
    <row r="821" spans="1:15" x14ac:dyDescent="0.3">
      <c r="A821" t="s">
        <v>1793</v>
      </c>
      <c r="B821" t="s">
        <v>1950</v>
      </c>
      <c r="C821" t="s">
        <v>1959</v>
      </c>
      <c r="D821">
        <v>225</v>
      </c>
      <c r="E821" t="s">
        <v>1447</v>
      </c>
      <c r="F821" t="s">
        <v>1961</v>
      </c>
      <c r="G821" t="s">
        <v>1797</v>
      </c>
      <c r="H821" t="s">
        <v>2035</v>
      </c>
      <c r="I821" t="s">
        <v>1799</v>
      </c>
      <c r="J821" t="s">
        <v>1799</v>
      </c>
      <c r="K821" t="s">
        <v>1799</v>
      </c>
      <c r="L821" t="s">
        <v>1799</v>
      </c>
      <c r="M821" t="s">
        <v>1799</v>
      </c>
      <c r="N821" t="s">
        <v>1799</v>
      </c>
      <c r="O821" s="184" t="str">
        <f>"["&amp;$C821&amp;"]["&amp;$D821&amp;"]["&amp;$F821&amp;"]"</f>
        <v>[S05_DefaultValues][225][FuelMaterialType]</v>
      </c>
    </row>
    <row r="822" spans="1:15" x14ac:dyDescent="0.3">
      <c r="A822" t="s">
        <v>1793</v>
      </c>
      <c r="B822" t="s">
        <v>1950</v>
      </c>
      <c r="C822" t="s">
        <v>1959</v>
      </c>
      <c r="D822">
        <v>226</v>
      </c>
      <c r="E822" t="s">
        <v>1447</v>
      </c>
      <c r="F822" t="s">
        <v>1961</v>
      </c>
      <c r="G822" t="s">
        <v>1797</v>
      </c>
      <c r="H822" t="s">
        <v>2036</v>
      </c>
      <c r="I822" t="s">
        <v>1799</v>
      </c>
      <c r="J822" t="s">
        <v>1799</v>
      </c>
      <c r="K822" t="s">
        <v>1799</v>
      </c>
      <c r="L822" t="s">
        <v>1799</v>
      </c>
      <c r="M822" t="s">
        <v>1799</v>
      </c>
      <c r="N822" t="s">
        <v>1799</v>
      </c>
      <c r="O822" s="184" t="str">
        <f>"["&amp;$C822&amp;"]["&amp;$D822&amp;"]["&amp;$F822&amp;"]"</f>
        <v>[S05_DefaultValues][226][FuelMaterialType]</v>
      </c>
    </row>
    <row r="823" spans="1:15" x14ac:dyDescent="0.3">
      <c r="A823" t="s">
        <v>1793</v>
      </c>
      <c r="B823" t="s">
        <v>1950</v>
      </c>
      <c r="C823" t="s">
        <v>1959</v>
      </c>
      <c r="D823">
        <v>227</v>
      </c>
      <c r="E823" t="s">
        <v>1447</v>
      </c>
      <c r="F823" t="s">
        <v>1961</v>
      </c>
      <c r="G823" t="s">
        <v>1797</v>
      </c>
      <c r="H823" t="s">
        <v>2054</v>
      </c>
      <c r="I823" t="s">
        <v>1799</v>
      </c>
      <c r="J823" t="s">
        <v>1799</v>
      </c>
      <c r="K823" t="s">
        <v>1799</v>
      </c>
      <c r="L823" t="s">
        <v>1799</v>
      </c>
      <c r="M823" t="s">
        <v>1799</v>
      </c>
      <c r="N823" t="s">
        <v>1799</v>
      </c>
      <c r="O823" s="184" t="str">
        <f>"["&amp;$C823&amp;"]["&amp;$D823&amp;"]["&amp;$F823&amp;"]"</f>
        <v>[S05_DefaultValues][227][FuelMaterialType]</v>
      </c>
    </row>
    <row r="824" spans="1:15" x14ac:dyDescent="0.3">
      <c r="A824" t="s">
        <v>1793</v>
      </c>
      <c r="B824" t="s">
        <v>1950</v>
      </c>
      <c r="C824" t="s">
        <v>1959</v>
      </c>
      <c r="D824">
        <v>228</v>
      </c>
      <c r="E824" t="s">
        <v>1447</v>
      </c>
      <c r="F824" t="s">
        <v>1961</v>
      </c>
      <c r="G824" t="s">
        <v>1797</v>
      </c>
      <c r="H824" t="s">
        <v>2042</v>
      </c>
      <c r="I824" t="s">
        <v>1799</v>
      </c>
      <c r="J824" t="s">
        <v>1799</v>
      </c>
      <c r="K824" t="s">
        <v>1799</v>
      </c>
      <c r="L824" t="s">
        <v>1799</v>
      </c>
      <c r="M824" t="s">
        <v>1799</v>
      </c>
      <c r="N824" t="s">
        <v>1799</v>
      </c>
      <c r="O824" s="184" t="str">
        <f>"["&amp;$C824&amp;"]["&amp;$D824&amp;"]["&amp;$F824&amp;"]"</f>
        <v>[S05_DefaultValues][228][FuelMaterialType]</v>
      </c>
    </row>
    <row r="825" spans="1:15" x14ac:dyDescent="0.3">
      <c r="A825" t="s">
        <v>1793</v>
      </c>
      <c r="B825" t="s">
        <v>1950</v>
      </c>
      <c r="C825" t="s">
        <v>1959</v>
      </c>
      <c r="D825">
        <v>229</v>
      </c>
      <c r="E825" t="s">
        <v>1447</v>
      </c>
      <c r="F825" t="s">
        <v>1961</v>
      </c>
      <c r="G825" t="s">
        <v>1797</v>
      </c>
      <c r="H825" t="s">
        <v>2044</v>
      </c>
      <c r="I825" t="s">
        <v>1799</v>
      </c>
      <c r="J825" t="s">
        <v>1799</v>
      </c>
      <c r="K825" t="s">
        <v>1799</v>
      </c>
      <c r="L825" t="s">
        <v>1799</v>
      </c>
      <c r="M825" t="s">
        <v>1799</v>
      </c>
      <c r="N825" t="s">
        <v>1799</v>
      </c>
      <c r="O825" s="184" t="str">
        <f>"["&amp;$C825&amp;"]["&amp;$D825&amp;"]["&amp;$F825&amp;"]"</f>
        <v>[S05_DefaultValues][229][FuelMaterialType]</v>
      </c>
    </row>
    <row r="826" spans="1:15" x14ac:dyDescent="0.3">
      <c r="A826" t="s">
        <v>1793</v>
      </c>
      <c r="B826" t="s">
        <v>1950</v>
      </c>
      <c r="C826" t="s">
        <v>1959</v>
      </c>
      <c r="D826">
        <v>230</v>
      </c>
      <c r="E826" t="s">
        <v>1447</v>
      </c>
      <c r="F826" t="s">
        <v>1961</v>
      </c>
      <c r="G826" t="s">
        <v>1797</v>
      </c>
      <c r="H826" t="s">
        <v>2074</v>
      </c>
      <c r="I826" t="s">
        <v>1799</v>
      </c>
      <c r="J826" t="s">
        <v>1799</v>
      </c>
      <c r="K826" t="s">
        <v>1799</v>
      </c>
      <c r="L826" t="s">
        <v>1799</v>
      </c>
      <c r="M826" t="s">
        <v>1799</v>
      </c>
      <c r="N826" t="s">
        <v>1799</v>
      </c>
      <c r="O826" s="184" t="str">
        <f>"["&amp;$C826&amp;"]["&amp;$D826&amp;"]["&amp;$F826&amp;"]"</f>
        <v>[S05_DefaultValues][230][FuelMaterialType]</v>
      </c>
    </row>
    <row r="827" spans="1:15" x14ac:dyDescent="0.3">
      <c r="A827" t="s">
        <v>1793</v>
      </c>
      <c r="B827" t="s">
        <v>1950</v>
      </c>
      <c r="C827" t="s">
        <v>1959</v>
      </c>
      <c r="D827">
        <v>231</v>
      </c>
      <c r="E827" t="s">
        <v>1447</v>
      </c>
      <c r="F827" t="s">
        <v>1961</v>
      </c>
      <c r="G827" t="s">
        <v>1797</v>
      </c>
      <c r="H827" t="s">
        <v>2075</v>
      </c>
      <c r="I827" t="s">
        <v>1799</v>
      </c>
      <c r="J827" t="s">
        <v>1799</v>
      </c>
      <c r="K827" t="s">
        <v>1799</v>
      </c>
      <c r="L827" t="s">
        <v>1799</v>
      </c>
      <c r="M827" t="s">
        <v>1799</v>
      </c>
      <c r="N827" t="s">
        <v>1799</v>
      </c>
      <c r="O827" s="184" t="str">
        <f>"["&amp;$C827&amp;"]["&amp;$D827&amp;"]["&amp;$F827&amp;"]"</f>
        <v>[S05_DefaultValues][231][FuelMaterialType]</v>
      </c>
    </row>
    <row r="828" spans="1:15" x14ac:dyDescent="0.3">
      <c r="A828" t="s">
        <v>1793</v>
      </c>
      <c r="B828" t="s">
        <v>1950</v>
      </c>
      <c r="C828" t="s">
        <v>1959</v>
      </c>
      <c r="D828">
        <v>232</v>
      </c>
      <c r="E828" t="s">
        <v>1447</v>
      </c>
      <c r="F828" t="s">
        <v>1961</v>
      </c>
      <c r="G828" t="s">
        <v>1797</v>
      </c>
      <c r="H828" t="s">
        <v>2058</v>
      </c>
      <c r="I828" t="s">
        <v>1799</v>
      </c>
      <c r="J828" t="s">
        <v>1799</v>
      </c>
      <c r="K828" t="s">
        <v>1799</v>
      </c>
      <c r="L828" t="s">
        <v>1799</v>
      </c>
      <c r="M828" t="s">
        <v>1799</v>
      </c>
      <c r="N828" t="s">
        <v>1799</v>
      </c>
      <c r="O828" s="184" t="str">
        <f>"["&amp;$C828&amp;"]["&amp;$D828&amp;"]["&amp;$F828&amp;"]"</f>
        <v>[S05_DefaultValues][232][FuelMaterialType]</v>
      </c>
    </row>
    <row r="829" spans="1:15" x14ac:dyDescent="0.3">
      <c r="A829" t="s">
        <v>1793</v>
      </c>
      <c r="B829" t="s">
        <v>1950</v>
      </c>
      <c r="C829" t="s">
        <v>1959</v>
      </c>
      <c r="D829">
        <v>233</v>
      </c>
      <c r="E829" t="s">
        <v>1447</v>
      </c>
      <c r="F829" t="s">
        <v>1961</v>
      </c>
      <c r="G829" t="s">
        <v>1797</v>
      </c>
      <c r="H829" t="s">
        <v>2076</v>
      </c>
      <c r="I829" t="s">
        <v>1799</v>
      </c>
      <c r="J829" t="s">
        <v>1799</v>
      </c>
      <c r="K829" t="s">
        <v>1799</v>
      </c>
      <c r="L829" t="s">
        <v>1799</v>
      </c>
      <c r="M829" t="s">
        <v>1799</v>
      </c>
      <c r="N829" t="s">
        <v>1799</v>
      </c>
      <c r="O829" s="184" t="str">
        <f>"["&amp;$C829&amp;"]["&amp;$D829&amp;"]["&amp;$F829&amp;"]"</f>
        <v>[S05_DefaultValues][233][FuelMaterialType]</v>
      </c>
    </row>
    <row r="830" spans="1:15" x14ac:dyDescent="0.3">
      <c r="A830" t="s">
        <v>1793</v>
      </c>
      <c r="B830" t="s">
        <v>1950</v>
      </c>
      <c r="C830" t="s">
        <v>1959</v>
      </c>
      <c r="D830">
        <v>234</v>
      </c>
      <c r="E830" t="s">
        <v>1447</v>
      </c>
      <c r="F830" t="s">
        <v>1961</v>
      </c>
      <c r="G830" t="s">
        <v>1797</v>
      </c>
      <c r="H830" t="s">
        <v>1964</v>
      </c>
      <c r="I830" t="s">
        <v>1799</v>
      </c>
      <c r="J830" t="s">
        <v>1799</v>
      </c>
      <c r="K830" t="s">
        <v>1799</v>
      </c>
      <c r="L830" t="s">
        <v>1799</v>
      </c>
      <c r="M830" t="s">
        <v>1799</v>
      </c>
      <c r="N830" t="s">
        <v>1799</v>
      </c>
      <c r="O830" s="184" t="str">
        <f>"["&amp;$C830&amp;"]["&amp;$D830&amp;"]["&amp;$F830&amp;"]"</f>
        <v>[S05_DefaultValues][234][FuelMaterialType]</v>
      </c>
    </row>
    <row r="831" spans="1:15" x14ac:dyDescent="0.3">
      <c r="A831" t="s">
        <v>1793</v>
      </c>
      <c r="B831" t="s">
        <v>1950</v>
      </c>
      <c r="C831" t="s">
        <v>1959</v>
      </c>
      <c r="D831">
        <v>235</v>
      </c>
      <c r="E831" t="s">
        <v>1447</v>
      </c>
      <c r="F831" t="s">
        <v>1961</v>
      </c>
      <c r="G831" t="s">
        <v>1797</v>
      </c>
      <c r="H831" t="s">
        <v>1965</v>
      </c>
      <c r="I831" t="s">
        <v>1799</v>
      </c>
      <c r="J831" t="s">
        <v>1799</v>
      </c>
      <c r="K831" t="s">
        <v>1799</v>
      </c>
      <c r="L831" t="s">
        <v>1799</v>
      </c>
      <c r="M831" t="s">
        <v>1799</v>
      </c>
      <c r="N831" t="s">
        <v>1799</v>
      </c>
      <c r="O831" s="184" t="str">
        <f>"["&amp;$C831&amp;"]["&amp;$D831&amp;"]["&amp;$F831&amp;"]"</f>
        <v>[S05_DefaultValues][235][FuelMaterialType]</v>
      </c>
    </row>
    <row r="832" spans="1:15" x14ac:dyDescent="0.3">
      <c r="A832" t="s">
        <v>1793</v>
      </c>
      <c r="B832" t="s">
        <v>1950</v>
      </c>
      <c r="C832" t="s">
        <v>1959</v>
      </c>
      <c r="D832">
        <v>236</v>
      </c>
      <c r="E832" t="s">
        <v>1447</v>
      </c>
      <c r="F832" t="s">
        <v>1961</v>
      </c>
      <c r="G832" t="s">
        <v>1797</v>
      </c>
      <c r="H832" t="s">
        <v>1968</v>
      </c>
      <c r="I832" t="s">
        <v>1799</v>
      </c>
      <c r="J832" t="s">
        <v>1799</v>
      </c>
      <c r="K832" t="s">
        <v>1799</v>
      </c>
      <c r="L832" t="s">
        <v>1799</v>
      </c>
      <c r="M832" t="s">
        <v>1799</v>
      </c>
      <c r="N832" t="s">
        <v>1799</v>
      </c>
      <c r="O832" s="184" t="str">
        <f>"["&amp;$C832&amp;"]["&amp;$D832&amp;"]["&amp;$F832&amp;"]"</f>
        <v>[S05_DefaultValues][236][FuelMaterialType]</v>
      </c>
    </row>
    <row r="833" spans="1:15" x14ac:dyDescent="0.3">
      <c r="A833" t="s">
        <v>1793</v>
      </c>
      <c r="B833" t="s">
        <v>1950</v>
      </c>
      <c r="C833" t="s">
        <v>1959</v>
      </c>
      <c r="D833">
        <v>237</v>
      </c>
      <c r="E833" t="s">
        <v>1447</v>
      </c>
      <c r="F833" t="s">
        <v>1961</v>
      </c>
      <c r="G833" t="s">
        <v>1797</v>
      </c>
      <c r="H833" t="s">
        <v>1972</v>
      </c>
      <c r="I833" t="s">
        <v>1799</v>
      </c>
      <c r="J833" t="s">
        <v>1799</v>
      </c>
      <c r="K833" t="s">
        <v>1799</v>
      </c>
      <c r="L833" t="s">
        <v>1799</v>
      </c>
      <c r="M833" t="s">
        <v>1799</v>
      </c>
      <c r="N833" t="s">
        <v>1799</v>
      </c>
      <c r="O833" s="184" t="str">
        <f>"["&amp;$C833&amp;"]["&amp;$D833&amp;"]["&amp;$F833&amp;"]"</f>
        <v>[S05_DefaultValues][237][FuelMaterialType]</v>
      </c>
    </row>
    <row r="834" spans="1:15" x14ac:dyDescent="0.3">
      <c r="A834" t="s">
        <v>1793</v>
      </c>
      <c r="B834" t="s">
        <v>1950</v>
      </c>
      <c r="C834" t="s">
        <v>1959</v>
      </c>
      <c r="D834">
        <v>238</v>
      </c>
      <c r="E834" t="s">
        <v>1447</v>
      </c>
      <c r="F834" t="s">
        <v>1961</v>
      </c>
      <c r="G834" t="s">
        <v>1797</v>
      </c>
      <c r="H834" t="s">
        <v>2077</v>
      </c>
      <c r="I834" t="s">
        <v>1799</v>
      </c>
      <c r="J834" t="s">
        <v>1799</v>
      </c>
      <c r="K834" t="s">
        <v>1799</v>
      </c>
      <c r="L834" t="s">
        <v>1799</v>
      </c>
      <c r="M834" t="s">
        <v>1799</v>
      </c>
      <c r="N834" t="s">
        <v>1799</v>
      </c>
      <c r="O834" s="184" t="str">
        <f>"["&amp;$C834&amp;"]["&amp;$D834&amp;"]["&amp;$F834&amp;"]"</f>
        <v>[S05_DefaultValues][238][FuelMaterialType]</v>
      </c>
    </row>
    <row r="835" spans="1:15" x14ac:dyDescent="0.3">
      <c r="A835" t="s">
        <v>1793</v>
      </c>
      <c r="B835" t="s">
        <v>1950</v>
      </c>
      <c r="C835" t="s">
        <v>1959</v>
      </c>
      <c r="D835">
        <v>239</v>
      </c>
      <c r="E835" t="s">
        <v>1447</v>
      </c>
      <c r="F835" t="s">
        <v>1961</v>
      </c>
      <c r="G835" t="s">
        <v>1797</v>
      </c>
      <c r="H835" t="s">
        <v>2078</v>
      </c>
      <c r="I835" t="s">
        <v>1799</v>
      </c>
      <c r="J835" t="s">
        <v>1799</v>
      </c>
      <c r="K835" t="s">
        <v>1799</v>
      </c>
      <c r="L835" t="s">
        <v>1799</v>
      </c>
      <c r="M835" t="s">
        <v>1799</v>
      </c>
      <c r="N835" t="s">
        <v>1799</v>
      </c>
      <c r="O835" s="184" t="str">
        <f>"["&amp;$C835&amp;"]["&amp;$D835&amp;"]["&amp;$F835&amp;"]"</f>
        <v>[S05_DefaultValues][239][FuelMaterialType]</v>
      </c>
    </row>
    <row r="836" spans="1:15" x14ac:dyDescent="0.3">
      <c r="A836" t="s">
        <v>1793</v>
      </c>
      <c r="B836" t="s">
        <v>1950</v>
      </c>
      <c r="C836" t="s">
        <v>1959</v>
      </c>
      <c r="D836">
        <v>240</v>
      </c>
      <c r="E836" t="s">
        <v>1447</v>
      </c>
      <c r="F836" t="s">
        <v>1961</v>
      </c>
      <c r="G836" t="s">
        <v>1797</v>
      </c>
      <c r="H836" t="s">
        <v>1976</v>
      </c>
      <c r="I836" t="s">
        <v>1799</v>
      </c>
      <c r="J836" t="s">
        <v>1799</v>
      </c>
      <c r="K836" t="s">
        <v>1799</v>
      </c>
      <c r="L836" t="s">
        <v>1799</v>
      </c>
      <c r="M836" t="s">
        <v>1799</v>
      </c>
      <c r="N836" t="s">
        <v>1799</v>
      </c>
      <c r="O836" s="184" t="str">
        <f>"["&amp;$C836&amp;"]["&amp;$D836&amp;"]["&amp;$F836&amp;"]"</f>
        <v>[S05_DefaultValues][240][FuelMaterialType]</v>
      </c>
    </row>
    <row r="837" spans="1:15" x14ac:dyDescent="0.3">
      <c r="A837" t="s">
        <v>1793</v>
      </c>
      <c r="B837" t="s">
        <v>1950</v>
      </c>
      <c r="C837" t="s">
        <v>1959</v>
      </c>
      <c r="D837">
        <v>241</v>
      </c>
      <c r="E837" t="s">
        <v>1447</v>
      </c>
      <c r="F837" t="s">
        <v>1961</v>
      </c>
      <c r="G837" t="s">
        <v>1797</v>
      </c>
      <c r="H837" t="s">
        <v>2060</v>
      </c>
      <c r="I837" t="s">
        <v>1799</v>
      </c>
      <c r="J837" t="s">
        <v>1799</v>
      </c>
      <c r="K837" t="s">
        <v>1799</v>
      </c>
      <c r="L837" t="s">
        <v>1799</v>
      </c>
      <c r="M837" t="s">
        <v>1799</v>
      </c>
      <c r="N837" t="s">
        <v>1799</v>
      </c>
      <c r="O837" s="184" t="str">
        <f>"["&amp;$C837&amp;"]["&amp;$D837&amp;"]["&amp;$F837&amp;"]"</f>
        <v>[S05_DefaultValues][241][FuelMaterialType]</v>
      </c>
    </row>
    <row r="838" spans="1:15" x14ac:dyDescent="0.3">
      <c r="A838" t="s">
        <v>1793</v>
      </c>
      <c r="B838" t="s">
        <v>1950</v>
      </c>
      <c r="C838" t="s">
        <v>1959</v>
      </c>
      <c r="D838">
        <v>242</v>
      </c>
      <c r="E838" t="s">
        <v>1447</v>
      </c>
      <c r="F838" t="s">
        <v>1961</v>
      </c>
      <c r="G838" t="s">
        <v>1797</v>
      </c>
      <c r="H838" t="s">
        <v>1978</v>
      </c>
      <c r="I838" t="s">
        <v>1799</v>
      </c>
      <c r="J838" t="s">
        <v>1799</v>
      </c>
      <c r="K838" t="s">
        <v>1799</v>
      </c>
      <c r="L838" t="s">
        <v>1799</v>
      </c>
      <c r="M838" t="s">
        <v>1799</v>
      </c>
      <c r="N838" t="s">
        <v>1799</v>
      </c>
      <c r="O838" s="184" t="str">
        <f>"["&amp;$C838&amp;"]["&amp;$D838&amp;"]["&amp;$F838&amp;"]"</f>
        <v>[S05_DefaultValues][242][FuelMaterialType]</v>
      </c>
    </row>
    <row r="839" spans="1:15" x14ac:dyDescent="0.3">
      <c r="A839" t="s">
        <v>1793</v>
      </c>
      <c r="B839" t="s">
        <v>1950</v>
      </c>
      <c r="C839" t="s">
        <v>1959</v>
      </c>
      <c r="D839">
        <v>243</v>
      </c>
      <c r="E839" t="s">
        <v>1447</v>
      </c>
      <c r="F839" t="s">
        <v>1961</v>
      </c>
      <c r="G839" t="s">
        <v>1797</v>
      </c>
      <c r="H839" t="s">
        <v>1979</v>
      </c>
      <c r="I839" t="s">
        <v>1799</v>
      </c>
      <c r="J839" t="s">
        <v>1799</v>
      </c>
      <c r="K839" t="s">
        <v>1799</v>
      </c>
      <c r="L839" t="s">
        <v>1799</v>
      </c>
      <c r="M839" t="s">
        <v>1799</v>
      </c>
      <c r="N839" t="s">
        <v>1799</v>
      </c>
      <c r="O839" s="184" t="str">
        <f>"["&amp;$C839&amp;"]["&amp;$D839&amp;"]["&amp;$F839&amp;"]"</f>
        <v>[S05_DefaultValues][243][FuelMaterialType]</v>
      </c>
    </row>
    <row r="840" spans="1:15" x14ac:dyDescent="0.3">
      <c r="A840" t="s">
        <v>1793</v>
      </c>
      <c r="B840" t="s">
        <v>1950</v>
      </c>
      <c r="C840" t="s">
        <v>1959</v>
      </c>
      <c r="D840">
        <v>244</v>
      </c>
      <c r="E840" t="s">
        <v>1447</v>
      </c>
      <c r="F840" t="s">
        <v>1961</v>
      </c>
      <c r="G840" t="s">
        <v>1797</v>
      </c>
      <c r="H840" t="s">
        <v>2079</v>
      </c>
      <c r="I840" t="s">
        <v>1799</v>
      </c>
      <c r="J840" t="s">
        <v>1799</v>
      </c>
      <c r="K840" t="s">
        <v>1799</v>
      </c>
      <c r="L840" t="s">
        <v>1799</v>
      </c>
      <c r="M840" t="s">
        <v>1799</v>
      </c>
      <c r="N840" t="s">
        <v>1799</v>
      </c>
      <c r="O840" s="184" t="str">
        <f>"["&amp;$C840&amp;"]["&amp;$D840&amp;"]["&amp;$F840&amp;"]"</f>
        <v>[S05_DefaultValues][244][FuelMaterialType]</v>
      </c>
    </row>
    <row r="841" spans="1:15" x14ac:dyDescent="0.3">
      <c r="A841" t="s">
        <v>1793</v>
      </c>
      <c r="B841" t="s">
        <v>1950</v>
      </c>
      <c r="C841" t="s">
        <v>1959</v>
      </c>
      <c r="D841">
        <v>245</v>
      </c>
      <c r="E841" t="s">
        <v>1447</v>
      </c>
      <c r="F841" t="s">
        <v>1961</v>
      </c>
      <c r="G841" t="s">
        <v>1797</v>
      </c>
      <c r="H841" t="s">
        <v>2062</v>
      </c>
      <c r="I841" t="s">
        <v>1799</v>
      </c>
      <c r="J841" t="s">
        <v>1799</v>
      </c>
      <c r="K841" t="s">
        <v>1799</v>
      </c>
      <c r="L841" t="s">
        <v>1799</v>
      </c>
      <c r="M841" t="s">
        <v>1799</v>
      </c>
      <c r="N841" t="s">
        <v>1799</v>
      </c>
      <c r="O841" s="184" t="str">
        <f>"["&amp;$C841&amp;"]["&amp;$D841&amp;"]["&amp;$F841&amp;"]"</f>
        <v>[S05_DefaultValues][245][FuelMaterialType]</v>
      </c>
    </row>
    <row r="842" spans="1:15" x14ac:dyDescent="0.3">
      <c r="A842" t="s">
        <v>1793</v>
      </c>
      <c r="B842" t="s">
        <v>1950</v>
      </c>
      <c r="C842" t="s">
        <v>1959</v>
      </c>
      <c r="D842">
        <v>246</v>
      </c>
      <c r="E842" t="s">
        <v>1447</v>
      </c>
      <c r="F842" t="s">
        <v>1961</v>
      </c>
      <c r="G842" t="s">
        <v>1797</v>
      </c>
      <c r="H842" t="s">
        <v>1980</v>
      </c>
      <c r="I842" t="s">
        <v>1799</v>
      </c>
      <c r="J842" t="s">
        <v>1799</v>
      </c>
      <c r="K842" t="s">
        <v>1799</v>
      </c>
      <c r="L842" t="s">
        <v>1799</v>
      </c>
      <c r="M842" t="s">
        <v>1799</v>
      </c>
      <c r="N842" t="s">
        <v>1799</v>
      </c>
      <c r="O842" s="184" t="str">
        <f>"["&amp;$C842&amp;"]["&amp;$D842&amp;"]["&amp;$F842&amp;"]"</f>
        <v>[S05_DefaultValues][246][FuelMaterialType]</v>
      </c>
    </row>
    <row r="843" spans="1:15" x14ac:dyDescent="0.3">
      <c r="A843" t="s">
        <v>1793</v>
      </c>
      <c r="B843" t="s">
        <v>1950</v>
      </c>
      <c r="C843" t="s">
        <v>1959</v>
      </c>
      <c r="D843">
        <v>247</v>
      </c>
      <c r="E843" t="s">
        <v>1447</v>
      </c>
      <c r="F843" t="s">
        <v>1961</v>
      </c>
      <c r="G843" t="s">
        <v>1797</v>
      </c>
      <c r="H843" t="s">
        <v>1981</v>
      </c>
      <c r="I843" t="s">
        <v>1799</v>
      </c>
      <c r="J843" t="s">
        <v>1799</v>
      </c>
      <c r="K843" t="s">
        <v>1799</v>
      </c>
      <c r="L843" t="s">
        <v>1799</v>
      </c>
      <c r="M843" t="s">
        <v>1799</v>
      </c>
      <c r="N843" t="s">
        <v>1799</v>
      </c>
      <c r="O843" s="184" t="str">
        <f>"["&amp;$C843&amp;"]["&amp;$D843&amp;"]["&amp;$F843&amp;"]"</f>
        <v>[S05_DefaultValues][247][FuelMaterialType]</v>
      </c>
    </row>
    <row r="844" spans="1:15" x14ac:dyDescent="0.3">
      <c r="A844" t="s">
        <v>1793</v>
      </c>
      <c r="B844" t="s">
        <v>1950</v>
      </c>
      <c r="C844" t="s">
        <v>1959</v>
      </c>
      <c r="D844">
        <v>248</v>
      </c>
      <c r="E844" t="s">
        <v>1447</v>
      </c>
      <c r="F844" t="s">
        <v>1961</v>
      </c>
      <c r="G844" t="s">
        <v>1797</v>
      </c>
      <c r="H844" t="s">
        <v>2080</v>
      </c>
      <c r="I844" t="s">
        <v>1799</v>
      </c>
      <c r="J844" t="s">
        <v>1799</v>
      </c>
      <c r="K844" t="s">
        <v>1799</v>
      </c>
      <c r="L844" t="s">
        <v>1799</v>
      </c>
      <c r="M844" t="s">
        <v>1799</v>
      </c>
      <c r="N844" t="s">
        <v>1799</v>
      </c>
      <c r="O844" s="184" t="str">
        <f>"["&amp;$C844&amp;"]["&amp;$D844&amp;"]["&amp;$F844&amp;"]"</f>
        <v>[S05_DefaultValues][248][FuelMaterialType]</v>
      </c>
    </row>
    <row r="845" spans="1:15" x14ac:dyDescent="0.3">
      <c r="A845" t="s">
        <v>1793</v>
      </c>
      <c r="B845" t="s">
        <v>1950</v>
      </c>
      <c r="C845" t="s">
        <v>1959</v>
      </c>
      <c r="D845">
        <v>249</v>
      </c>
      <c r="E845" t="s">
        <v>1447</v>
      </c>
      <c r="F845" t="s">
        <v>1961</v>
      </c>
      <c r="G845" t="s">
        <v>1797</v>
      </c>
      <c r="H845" t="s">
        <v>2050</v>
      </c>
      <c r="I845" t="s">
        <v>1799</v>
      </c>
      <c r="J845" t="s">
        <v>1799</v>
      </c>
      <c r="K845" t="s">
        <v>1799</v>
      </c>
      <c r="L845" t="s">
        <v>1799</v>
      </c>
      <c r="M845" t="s">
        <v>1799</v>
      </c>
      <c r="N845" t="s">
        <v>1799</v>
      </c>
      <c r="O845" s="184" t="str">
        <f>"["&amp;$C845&amp;"]["&amp;$D845&amp;"]["&amp;$F845&amp;"]"</f>
        <v>[S05_DefaultValues][249][FuelMaterialType]</v>
      </c>
    </row>
    <row r="846" spans="1:15" x14ac:dyDescent="0.3">
      <c r="A846" t="s">
        <v>1793</v>
      </c>
      <c r="B846" t="s">
        <v>1950</v>
      </c>
      <c r="C846" t="s">
        <v>1959</v>
      </c>
      <c r="D846">
        <v>250</v>
      </c>
      <c r="E846" t="s">
        <v>1447</v>
      </c>
      <c r="F846" t="s">
        <v>1961</v>
      </c>
      <c r="G846" t="s">
        <v>1797</v>
      </c>
      <c r="H846" t="s">
        <v>1982</v>
      </c>
      <c r="I846" t="s">
        <v>1799</v>
      </c>
      <c r="J846" t="s">
        <v>1799</v>
      </c>
      <c r="K846" t="s">
        <v>1799</v>
      </c>
      <c r="L846" t="s">
        <v>1799</v>
      </c>
      <c r="M846" t="s">
        <v>1799</v>
      </c>
      <c r="N846" t="s">
        <v>1799</v>
      </c>
      <c r="O846" s="184" t="str">
        <f>"["&amp;$C846&amp;"]["&amp;$D846&amp;"]["&amp;$F846&amp;"]"</f>
        <v>[S05_DefaultValues][250][FuelMaterialType]</v>
      </c>
    </row>
    <row r="847" spans="1:15" x14ac:dyDescent="0.3">
      <c r="A847" t="s">
        <v>1793</v>
      </c>
      <c r="B847" t="s">
        <v>1950</v>
      </c>
      <c r="C847" t="s">
        <v>1959</v>
      </c>
      <c r="D847">
        <v>251</v>
      </c>
      <c r="E847" t="s">
        <v>1447</v>
      </c>
      <c r="F847" t="s">
        <v>1961</v>
      </c>
      <c r="G847" t="s">
        <v>1797</v>
      </c>
      <c r="H847" t="s">
        <v>1983</v>
      </c>
      <c r="I847" t="s">
        <v>1799</v>
      </c>
      <c r="J847" t="s">
        <v>1799</v>
      </c>
      <c r="K847" t="s">
        <v>1799</v>
      </c>
      <c r="L847" t="s">
        <v>1799</v>
      </c>
      <c r="M847" t="s">
        <v>1799</v>
      </c>
      <c r="N847" t="s">
        <v>1799</v>
      </c>
      <c r="O847" s="184" t="str">
        <f>"["&amp;$C847&amp;"]["&amp;$D847&amp;"]["&amp;$F847&amp;"]"</f>
        <v>[S05_DefaultValues][251][FuelMaterialType]</v>
      </c>
    </row>
    <row r="848" spans="1:15" x14ac:dyDescent="0.3">
      <c r="A848" t="s">
        <v>1793</v>
      </c>
      <c r="B848" t="s">
        <v>1950</v>
      </c>
      <c r="C848" t="s">
        <v>1959</v>
      </c>
      <c r="D848">
        <v>252</v>
      </c>
      <c r="E848" t="s">
        <v>1447</v>
      </c>
      <c r="F848" t="s">
        <v>1961</v>
      </c>
      <c r="G848" t="s">
        <v>1797</v>
      </c>
      <c r="H848" t="s">
        <v>1984</v>
      </c>
      <c r="I848" t="s">
        <v>1799</v>
      </c>
      <c r="J848" t="s">
        <v>1799</v>
      </c>
      <c r="K848" t="s">
        <v>1799</v>
      </c>
      <c r="L848" t="s">
        <v>1799</v>
      </c>
      <c r="M848" t="s">
        <v>1799</v>
      </c>
      <c r="N848" t="s">
        <v>1799</v>
      </c>
      <c r="O848" s="184" t="str">
        <f>"["&amp;$C848&amp;"]["&amp;$D848&amp;"]["&amp;$F848&amp;"]"</f>
        <v>[S05_DefaultValues][252][FuelMaterialType]</v>
      </c>
    </row>
    <row r="849" spans="1:15" x14ac:dyDescent="0.3">
      <c r="A849" t="s">
        <v>1793</v>
      </c>
      <c r="B849" t="s">
        <v>1950</v>
      </c>
      <c r="C849" t="s">
        <v>1959</v>
      </c>
      <c r="D849">
        <v>253</v>
      </c>
      <c r="E849" t="s">
        <v>1447</v>
      </c>
      <c r="F849" t="s">
        <v>1961</v>
      </c>
      <c r="G849" t="s">
        <v>1797</v>
      </c>
      <c r="H849" t="s">
        <v>1985</v>
      </c>
      <c r="I849" t="s">
        <v>1799</v>
      </c>
      <c r="J849" t="s">
        <v>1799</v>
      </c>
      <c r="K849" t="s">
        <v>1799</v>
      </c>
      <c r="L849" t="s">
        <v>1799</v>
      </c>
      <c r="M849" t="s">
        <v>1799</v>
      </c>
      <c r="N849" t="s">
        <v>1799</v>
      </c>
      <c r="O849" s="184" t="str">
        <f>"["&amp;$C849&amp;"]["&amp;$D849&amp;"]["&amp;$F849&amp;"]"</f>
        <v>[S05_DefaultValues][253][FuelMaterialType]</v>
      </c>
    </row>
    <row r="850" spans="1:15" x14ac:dyDescent="0.3">
      <c r="A850" t="s">
        <v>1793</v>
      </c>
      <c r="B850" t="s">
        <v>1950</v>
      </c>
      <c r="C850" t="s">
        <v>1959</v>
      </c>
      <c r="D850">
        <v>254</v>
      </c>
      <c r="E850" t="s">
        <v>1447</v>
      </c>
      <c r="F850" t="s">
        <v>1961</v>
      </c>
      <c r="G850" t="s">
        <v>1797</v>
      </c>
      <c r="H850" t="s">
        <v>1987</v>
      </c>
      <c r="I850" t="s">
        <v>1799</v>
      </c>
      <c r="J850" t="s">
        <v>1799</v>
      </c>
      <c r="K850" t="s">
        <v>1799</v>
      </c>
      <c r="L850" t="s">
        <v>1799</v>
      </c>
      <c r="M850" t="s">
        <v>1799</v>
      </c>
      <c r="N850" t="s">
        <v>1799</v>
      </c>
      <c r="O850" s="184" t="str">
        <f>"["&amp;$C850&amp;"]["&amp;$D850&amp;"]["&amp;$F850&amp;"]"</f>
        <v>[S05_DefaultValues][254][FuelMaterialType]</v>
      </c>
    </row>
    <row r="851" spans="1:15" x14ac:dyDescent="0.3">
      <c r="A851" t="s">
        <v>1793</v>
      </c>
      <c r="B851" t="s">
        <v>1950</v>
      </c>
      <c r="C851" t="s">
        <v>1959</v>
      </c>
      <c r="D851">
        <v>255</v>
      </c>
      <c r="E851" t="s">
        <v>1447</v>
      </c>
      <c r="F851" t="s">
        <v>1961</v>
      </c>
      <c r="G851" t="s">
        <v>1797</v>
      </c>
      <c r="H851" t="s">
        <v>1988</v>
      </c>
      <c r="I851" t="s">
        <v>1799</v>
      </c>
      <c r="J851" t="s">
        <v>1799</v>
      </c>
      <c r="K851" t="s">
        <v>1799</v>
      </c>
      <c r="L851" t="s">
        <v>1799</v>
      </c>
      <c r="M851" t="s">
        <v>1799</v>
      </c>
      <c r="N851" t="s">
        <v>1799</v>
      </c>
      <c r="O851" s="184" t="str">
        <f>"["&amp;$C851&amp;"]["&amp;$D851&amp;"]["&amp;$F851&amp;"]"</f>
        <v>[S05_DefaultValues][255][FuelMaterialType]</v>
      </c>
    </row>
    <row r="852" spans="1:15" x14ac:dyDescent="0.3">
      <c r="A852" t="s">
        <v>1793</v>
      </c>
      <c r="B852" t="s">
        <v>1950</v>
      </c>
      <c r="C852" t="s">
        <v>1959</v>
      </c>
      <c r="D852">
        <v>256</v>
      </c>
      <c r="E852" t="s">
        <v>1447</v>
      </c>
      <c r="F852" t="s">
        <v>1961</v>
      </c>
      <c r="G852" t="s">
        <v>1797</v>
      </c>
      <c r="H852" t="s">
        <v>1989</v>
      </c>
      <c r="I852" t="s">
        <v>1799</v>
      </c>
      <c r="J852" t="s">
        <v>1799</v>
      </c>
      <c r="K852" t="s">
        <v>1799</v>
      </c>
      <c r="L852" t="s">
        <v>1799</v>
      </c>
      <c r="M852" t="s">
        <v>1799</v>
      </c>
      <c r="N852" t="s">
        <v>1799</v>
      </c>
      <c r="O852" s="184" t="str">
        <f>"["&amp;$C852&amp;"]["&amp;$D852&amp;"]["&amp;$F852&amp;"]"</f>
        <v>[S05_DefaultValues][256][FuelMaterialType]</v>
      </c>
    </row>
    <row r="853" spans="1:15" x14ac:dyDescent="0.3">
      <c r="A853" t="s">
        <v>1793</v>
      </c>
      <c r="B853" t="s">
        <v>1950</v>
      </c>
      <c r="C853" t="s">
        <v>1959</v>
      </c>
      <c r="D853">
        <v>257</v>
      </c>
      <c r="E853" t="s">
        <v>1447</v>
      </c>
      <c r="F853" t="s">
        <v>1961</v>
      </c>
      <c r="G853" t="s">
        <v>1797</v>
      </c>
      <c r="H853" t="s">
        <v>1990</v>
      </c>
      <c r="I853" t="s">
        <v>1799</v>
      </c>
      <c r="J853" t="s">
        <v>1799</v>
      </c>
      <c r="K853" t="s">
        <v>1799</v>
      </c>
      <c r="L853" t="s">
        <v>1799</v>
      </c>
      <c r="M853" t="s">
        <v>1799</v>
      </c>
      <c r="N853" t="s">
        <v>1799</v>
      </c>
      <c r="O853" s="184" t="str">
        <f>"["&amp;$C853&amp;"]["&amp;$D853&amp;"]["&amp;$F853&amp;"]"</f>
        <v>[S05_DefaultValues][257][FuelMaterialType]</v>
      </c>
    </row>
    <row r="854" spans="1:15" x14ac:dyDescent="0.3">
      <c r="A854" t="s">
        <v>1793</v>
      </c>
      <c r="B854" t="s">
        <v>1950</v>
      </c>
      <c r="C854" t="s">
        <v>1959</v>
      </c>
      <c r="D854">
        <v>258</v>
      </c>
      <c r="E854" t="s">
        <v>1447</v>
      </c>
      <c r="F854" t="s">
        <v>1961</v>
      </c>
      <c r="G854" t="s">
        <v>1797</v>
      </c>
      <c r="H854" t="s">
        <v>1991</v>
      </c>
      <c r="I854" t="s">
        <v>1799</v>
      </c>
      <c r="J854" t="s">
        <v>1799</v>
      </c>
      <c r="K854" t="s">
        <v>1799</v>
      </c>
      <c r="L854" t="s">
        <v>1799</v>
      </c>
      <c r="M854" t="s">
        <v>1799</v>
      </c>
      <c r="N854" t="s">
        <v>1799</v>
      </c>
      <c r="O854" s="184" t="str">
        <f>"["&amp;$C854&amp;"]["&amp;$D854&amp;"]["&amp;$F854&amp;"]"</f>
        <v>[S05_DefaultValues][258][FuelMaterialType]</v>
      </c>
    </row>
    <row r="855" spans="1:15" x14ac:dyDescent="0.3">
      <c r="A855" t="s">
        <v>1793</v>
      </c>
      <c r="B855" t="s">
        <v>1950</v>
      </c>
      <c r="C855" t="s">
        <v>1959</v>
      </c>
      <c r="D855">
        <v>259</v>
      </c>
      <c r="E855" t="s">
        <v>1447</v>
      </c>
      <c r="F855" t="s">
        <v>1961</v>
      </c>
      <c r="G855" t="s">
        <v>1797</v>
      </c>
      <c r="H855" t="s">
        <v>1992</v>
      </c>
      <c r="I855" t="s">
        <v>1799</v>
      </c>
      <c r="J855" t="s">
        <v>1799</v>
      </c>
      <c r="K855" t="s">
        <v>1799</v>
      </c>
      <c r="L855" t="s">
        <v>1799</v>
      </c>
      <c r="M855" t="s">
        <v>1799</v>
      </c>
      <c r="N855" t="s">
        <v>1799</v>
      </c>
      <c r="O855" s="184" t="str">
        <f>"["&amp;$C855&amp;"]["&amp;$D855&amp;"]["&amp;$F855&amp;"]"</f>
        <v>[S05_DefaultValues][259][FuelMaterialType]</v>
      </c>
    </row>
    <row r="856" spans="1:15" x14ac:dyDescent="0.3">
      <c r="A856" t="s">
        <v>1793</v>
      </c>
      <c r="B856" t="s">
        <v>1950</v>
      </c>
      <c r="C856" t="s">
        <v>1959</v>
      </c>
      <c r="D856">
        <v>260</v>
      </c>
      <c r="E856" t="s">
        <v>1447</v>
      </c>
      <c r="F856" t="s">
        <v>1961</v>
      </c>
      <c r="G856" t="s">
        <v>1797</v>
      </c>
      <c r="H856" t="s">
        <v>1993</v>
      </c>
      <c r="I856" t="s">
        <v>1799</v>
      </c>
      <c r="J856" t="s">
        <v>1799</v>
      </c>
      <c r="K856" t="s">
        <v>1799</v>
      </c>
      <c r="L856" t="s">
        <v>1799</v>
      </c>
      <c r="M856" t="s">
        <v>1799</v>
      </c>
      <c r="N856" t="s">
        <v>1799</v>
      </c>
      <c r="O856" s="184" t="str">
        <f>"["&amp;$C856&amp;"]["&amp;$D856&amp;"]["&amp;$F856&amp;"]"</f>
        <v>[S05_DefaultValues][260][FuelMaterialType]</v>
      </c>
    </row>
    <row r="857" spans="1:15" x14ac:dyDescent="0.3">
      <c r="A857" t="s">
        <v>1793</v>
      </c>
      <c r="B857" t="s">
        <v>1950</v>
      </c>
      <c r="C857" t="s">
        <v>1959</v>
      </c>
      <c r="D857">
        <v>261</v>
      </c>
      <c r="E857" t="s">
        <v>1447</v>
      </c>
      <c r="F857" t="s">
        <v>1961</v>
      </c>
      <c r="G857" t="s">
        <v>1797</v>
      </c>
      <c r="H857" t="s">
        <v>1994</v>
      </c>
      <c r="I857" t="s">
        <v>1799</v>
      </c>
      <c r="J857" t="s">
        <v>1799</v>
      </c>
      <c r="K857" t="s">
        <v>1799</v>
      </c>
      <c r="L857" t="s">
        <v>1799</v>
      </c>
      <c r="M857" t="s">
        <v>1799</v>
      </c>
      <c r="N857" t="s">
        <v>1799</v>
      </c>
      <c r="O857" s="184" t="str">
        <f>"["&amp;$C857&amp;"]["&amp;$D857&amp;"]["&amp;$F857&amp;"]"</f>
        <v>[S05_DefaultValues][261][FuelMaterialType]</v>
      </c>
    </row>
    <row r="858" spans="1:15" x14ac:dyDescent="0.3">
      <c r="A858" t="s">
        <v>1793</v>
      </c>
      <c r="B858" t="s">
        <v>1950</v>
      </c>
      <c r="C858" t="s">
        <v>1959</v>
      </c>
      <c r="D858">
        <v>262</v>
      </c>
      <c r="E858" t="s">
        <v>1447</v>
      </c>
      <c r="F858" t="s">
        <v>1961</v>
      </c>
      <c r="G858" t="s">
        <v>1797</v>
      </c>
      <c r="H858" t="s">
        <v>1995</v>
      </c>
      <c r="I858" t="s">
        <v>1799</v>
      </c>
      <c r="J858" t="s">
        <v>1799</v>
      </c>
      <c r="K858" t="s">
        <v>1799</v>
      </c>
      <c r="L858" t="s">
        <v>1799</v>
      </c>
      <c r="M858" t="s">
        <v>1799</v>
      </c>
      <c r="N858" t="s">
        <v>1799</v>
      </c>
      <c r="O858" s="184" t="str">
        <f>"["&amp;$C858&amp;"]["&amp;$D858&amp;"]["&amp;$F858&amp;"]"</f>
        <v>[S05_DefaultValues][262][FuelMaterialType]</v>
      </c>
    </row>
    <row r="859" spans="1:15" x14ac:dyDescent="0.3">
      <c r="A859" t="s">
        <v>1793</v>
      </c>
      <c r="B859" t="s">
        <v>1950</v>
      </c>
      <c r="C859" t="s">
        <v>1959</v>
      </c>
      <c r="D859">
        <v>263</v>
      </c>
      <c r="E859" t="s">
        <v>1447</v>
      </c>
      <c r="F859" t="s">
        <v>1961</v>
      </c>
      <c r="G859" t="s">
        <v>1797</v>
      </c>
      <c r="H859" t="s">
        <v>2000</v>
      </c>
      <c r="I859" t="s">
        <v>1799</v>
      </c>
      <c r="J859" t="s">
        <v>1799</v>
      </c>
      <c r="K859" t="s">
        <v>1799</v>
      </c>
      <c r="L859" t="s">
        <v>1799</v>
      </c>
      <c r="M859" t="s">
        <v>1799</v>
      </c>
      <c r="N859" t="s">
        <v>1799</v>
      </c>
      <c r="O859" s="184" t="str">
        <f>"["&amp;$C859&amp;"]["&amp;$D859&amp;"]["&amp;$F859&amp;"]"</f>
        <v>[S05_DefaultValues][263][FuelMaterialType]</v>
      </c>
    </row>
    <row r="860" spans="1:15" x14ac:dyDescent="0.3">
      <c r="A860" t="s">
        <v>1793</v>
      </c>
      <c r="B860" t="s">
        <v>1950</v>
      </c>
      <c r="C860" t="s">
        <v>1959</v>
      </c>
      <c r="D860">
        <v>264</v>
      </c>
      <c r="E860" t="s">
        <v>1447</v>
      </c>
      <c r="F860" t="s">
        <v>1961</v>
      </c>
      <c r="G860" t="s">
        <v>1797</v>
      </c>
      <c r="H860" t="s">
        <v>2001</v>
      </c>
      <c r="I860" t="s">
        <v>1799</v>
      </c>
      <c r="J860" t="s">
        <v>1799</v>
      </c>
      <c r="K860" t="s">
        <v>1799</v>
      </c>
      <c r="L860" t="s">
        <v>1799</v>
      </c>
      <c r="M860" t="s">
        <v>1799</v>
      </c>
      <c r="N860" t="s">
        <v>1799</v>
      </c>
      <c r="O860" s="184" t="str">
        <f>"["&amp;$C860&amp;"]["&amp;$D860&amp;"]["&amp;$F860&amp;"]"</f>
        <v>[S05_DefaultValues][264][FuelMaterialType]</v>
      </c>
    </row>
    <row r="861" spans="1:15" x14ac:dyDescent="0.3">
      <c r="A861" t="s">
        <v>1793</v>
      </c>
      <c r="B861" t="s">
        <v>1950</v>
      </c>
      <c r="C861" t="s">
        <v>1959</v>
      </c>
      <c r="D861">
        <v>265</v>
      </c>
      <c r="E861" t="s">
        <v>1447</v>
      </c>
      <c r="F861" t="s">
        <v>1961</v>
      </c>
      <c r="G861" t="s">
        <v>1797</v>
      </c>
      <c r="H861" t="s">
        <v>2002</v>
      </c>
      <c r="I861" t="s">
        <v>1799</v>
      </c>
      <c r="J861" t="s">
        <v>1799</v>
      </c>
      <c r="K861" t="s">
        <v>1799</v>
      </c>
      <c r="L861" t="s">
        <v>1799</v>
      </c>
      <c r="M861" t="s">
        <v>1799</v>
      </c>
      <c r="N861" t="s">
        <v>1799</v>
      </c>
      <c r="O861" s="184" t="str">
        <f>"["&amp;$C861&amp;"]["&amp;$D861&amp;"]["&amp;$F861&amp;"]"</f>
        <v>[S05_DefaultValues][265][FuelMaterialType]</v>
      </c>
    </row>
    <row r="862" spans="1:15" x14ac:dyDescent="0.3">
      <c r="A862" t="s">
        <v>1793</v>
      </c>
      <c r="B862" t="s">
        <v>1950</v>
      </c>
      <c r="C862" t="s">
        <v>1959</v>
      </c>
      <c r="D862">
        <v>266</v>
      </c>
      <c r="E862" t="s">
        <v>1447</v>
      </c>
      <c r="F862" t="s">
        <v>1961</v>
      </c>
      <c r="G862" t="s">
        <v>1797</v>
      </c>
      <c r="H862" t="s">
        <v>2081</v>
      </c>
      <c r="I862" t="s">
        <v>1799</v>
      </c>
      <c r="J862" t="s">
        <v>1799</v>
      </c>
      <c r="K862" t="s">
        <v>1799</v>
      </c>
      <c r="L862" t="s">
        <v>1799</v>
      </c>
      <c r="M862" t="s">
        <v>1799</v>
      </c>
      <c r="N862" t="s">
        <v>1799</v>
      </c>
      <c r="O862" s="184" t="str">
        <f>"["&amp;$C862&amp;"]["&amp;$D862&amp;"]["&amp;$F862&amp;"]"</f>
        <v>[S05_DefaultValues][266][FuelMaterialType]</v>
      </c>
    </row>
    <row r="863" spans="1:15" x14ac:dyDescent="0.3">
      <c r="A863" t="s">
        <v>1793</v>
      </c>
      <c r="B863" t="s">
        <v>1950</v>
      </c>
      <c r="C863" t="s">
        <v>1959</v>
      </c>
      <c r="D863">
        <v>267</v>
      </c>
      <c r="E863" t="s">
        <v>1447</v>
      </c>
      <c r="F863" t="s">
        <v>1961</v>
      </c>
      <c r="G863" t="s">
        <v>1797</v>
      </c>
      <c r="H863" t="s">
        <v>2004</v>
      </c>
      <c r="I863" t="s">
        <v>1799</v>
      </c>
      <c r="J863" t="s">
        <v>1799</v>
      </c>
      <c r="K863" t="s">
        <v>1799</v>
      </c>
      <c r="L863" t="s">
        <v>1799</v>
      </c>
      <c r="M863" t="s">
        <v>1799</v>
      </c>
      <c r="N863" t="s">
        <v>1799</v>
      </c>
      <c r="O863" s="184" t="str">
        <f>"["&amp;$C863&amp;"]["&amp;$D863&amp;"]["&amp;$F863&amp;"]"</f>
        <v>[S05_DefaultValues][267][FuelMaterialType]</v>
      </c>
    </row>
    <row r="864" spans="1:15" x14ac:dyDescent="0.3">
      <c r="A864" t="s">
        <v>1793</v>
      </c>
      <c r="B864" t="s">
        <v>1950</v>
      </c>
      <c r="C864" t="s">
        <v>1959</v>
      </c>
      <c r="D864">
        <v>268</v>
      </c>
      <c r="E864" t="s">
        <v>1447</v>
      </c>
      <c r="F864" t="s">
        <v>1961</v>
      </c>
      <c r="G864" t="s">
        <v>1797</v>
      </c>
      <c r="H864" t="s">
        <v>2006</v>
      </c>
      <c r="I864" t="s">
        <v>1799</v>
      </c>
      <c r="J864" t="s">
        <v>1799</v>
      </c>
      <c r="K864" t="s">
        <v>1799</v>
      </c>
      <c r="L864" t="s">
        <v>1799</v>
      </c>
      <c r="M864" t="s">
        <v>1799</v>
      </c>
      <c r="N864" t="s">
        <v>1799</v>
      </c>
      <c r="O864" s="184" t="str">
        <f>"["&amp;$C864&amp;"]["&amp;$D864&amp;"]["&amp;$F864&amp;"]"</f>
        <v>[S05_DefaultValues][268][FuelMaterialType]</v>
      </c>
    </row>
    <row r="865" spans="1:15" x14ac:dyDescent="0.3">
      <c r="A865" t="s">
        <v>1793</v>
      </c>
      <c r="B865" t="s">
        <v>1950</v>
      </c>
      <c r="C865" t="s">
        <v>1959</v>
      </c>
      <c r="D865">
        <v>269</v>
      </c>
      <c r="E865" t="s">
        <v>1447</v>
      </c>
      <c r="F865" t="s">
        <v>1961</v>
      </c>
      <c r="G865" t="s">
        <v>1797</v>
      </c>
      <c r="H865" t="s">
        <v>2007</v>
      </c>
      <c r="I865" t="s">
        <v>1799</v>
      </c>
      <c r="J865" t="s">
        <v>1799</v>
      </c>
      <c r="K865" t="s">
        <v>1799</v>
      </c>
      <c r="L865" t="s">
        <v>1799</v>
      </c>
      <c r="M865" t="s">
        <v>1799</v>
      </c>
      <c r="N865" t="s">
        <v>1799</v>
      </c>
      <c r="O865" s="184" t="str">
        <f>"["&amp;$C865&amp;"]["&amp;$D865&amp;"]["&amp;$F865&amp;"]"</f>
        <v>[S05_DefaultValues][269][FuelMaterialType]</v>
      </c>
    </row>
    <row r="866" spans="1:15" x14ac:dyDescent="0.3">
      <c r="A866" t="s">
        <v>1793</v>
      </c>
      <c r="B866" t="s">
        <v>1950</v>
      </c>
      <c r="C866" t="s">
        <v>1959</v>
      </c>
      <c r="D866">
        <v>270</v>
      </c>
      <c r="E866" t="s">
        <v>1447</v>
      </c>
      <c r="F866" t="s">
        <v>1961</v>
      </c>
      <c r="G866" t="s">
        <v>1797</v>
      </c>
      <c r="H866" t="s">
        <v>2051</v>
      </c>
      <c r="I866" t="s">
        <v>1799</v>
      </c>
      <c r="J866" t="s">
        <v>1799</v>
      </c>
      <c r="K866" t="s">
        <v>1799</v>
      </c>
      <c r="L866" t="s">
        <v>1799</v>
      </c>
      <c r="M866" t="s">
        <v>1799</v>
      </c>
      <c r="N866" t="s">
        <v>1799</v>
      </c>
      <c r="O866" s="184" t="str">
        <f>"["&amp;$C866&amp;"]["&amp;$D866&amp;"]["&amp;$F866&amp;"]"</f>
        <v>[S05_DefaultValues][270][FuelMaterialType]</v>
      </c>
    </row>
    <row r="867" spans="1:15" x14ac:dyDescent="0.3">
      <c r="A867" t="s">
        <v>1793</v>
      </c>
      <c r="B867" t="s">
        <v>1950</v>
      </c>
      <c r="C867" t="s">
        <v>1959</v>
      </c>
      <c r="D867">
        <v>271</v>
      </c>
      <c r="E867" t="s">
        <v>1447</v>
      </c>
      <c r="F867" t="s">
        <v>1961</v>
      </c>
      <c r="G867" t="s">
        <v>1797</v>
      </c>
      <c r="H867" t="s">
        <v>2082</v>
      </c>
      <c r="I867" t="s">
        <v>1799</v>
      </c>
      <c r="J867" t="s">
        <v>1799</v>
      </c>
      <c r="K867" t="s">
        <v>1799</v>
      </c>
      <c r="L867" t="s">
        <v>1799</v>
      </c>
      <c r="M867" t="s">
        <v>1799</v>
      </c>
      <c r="N867" t="s">
        <v>1799</v>
      </c>
      <c r="O867" s="184" t="str">
        <f>"["&amp;$C867&amp;"]["&amp;$D867&amp;"]["&amp;$F867&amp;"]"</f>
        <v>[S05_DefaultValues][271][FuelMaterialType]</v>
      </c>
    </row>
    <row r="868" spans="1:15" x14ac:dyDescent="0.3">
      <c r="A868" t="s">
        <v>1793</v>
      </c>
      <c r="B868" t="s">
        <v>1950</v>
      </c>
      <c r="C868" t="s">
        <v>1959</v>
      </c>
      <c r="D868">
        <v>272</v>
      </c>
      <c r="E868" t="s">
        <v>1447</v>
      </c>
      <c r="F868" t="s">
        <v>1961</v>
      </c>
      <c r="G868" t="s">
        <v>1797</v>
      </c>
      <c r="H868" t="s">
        <v>2083</v>
      </c>
      <c r="I868" t="s">
        <v>1799</v>
      </c>
      <c r="J868" t="s">
        <v>1799</v>
      </c>
      <c r="K868" t="s">
        <v>1799</v>
      </c>
      <c r="L868" t="s">
        <v>1799</v>
      </c>
      <c r="M868" t="s">
        <v>1799</v>
      </c>
      <c r="N868" t="s">
        <v>1799</v>
      </c>
      <c r="O868" s="184" t="str">
        <f>"["&amp;$C868&amp;"]["&amp;$D868&amp;"]["&amp;$F868&amp;"]"</f>
        <v>[S05_DefaultValues][272][FuelMaterialType]</v>
      </c>
    </row>
    <row r="869" spans="1:15" x14ac:dyDescent="0.3">
      <c r="A869" t="s">
        <v>1793</v>
      </c>
      <c r="B869" t="s">
        <v>1950</v>
      </c>
      <c r="C869" t="s">
        <v>1959</v>
      </c>
      <c r="D869">
        <v>273</v>
      </c>
      <c r="E869" t="s">
        <v>1447</v>
      </c>
      <c r="F869" t="s">
        <v>1961</v>
      </c>
      <c r="G869" t="s">
        <v>1797</v>
      </c>
      <c r="H869" t="s">
        <v>2010</v>
      </c>
      <c r="I869" t="s">
        <v>1799</v>
      </c>
      <c r="J869" t="s">
        <v>1799</v>
      </c>
      <c r="K869" t="s">
        <v>1799</v>
      </c>
      <c r="L869" t="s">
        <v>1799</v>
      </c>
      <c r="M869" t="s">
        <v>1799</v>
      </c>
      <c r="N869" t="s">
        <v>1799</v>
      </c>
      <c r="O869" s="184" t="str">
        <f>"["&amp;$C869&amp;"]["&amp;$D869&amp;"]["&amp;$F869&amp;"]"</f>
        <v>[S05_DefaultValues][273][FuelMaterialType]</v>
      </c>
    </row>
    <row r="870" spans="1:15" x14ac:dyDescent="0.3">
      <c r="A870" t="s">
        <v>1793</v>
      </c>
      <c r="B870" t="s">
        <v>1950</v>
      </c>
      <c r="C870" t="s">
        <v>1959</v>
      </c>
      <c r="D870">
        <v>274</v>
      </c>
      <c r="E870" t="s">
        <v>1447</v>
      </c>
      <c r="F870" t="s">
        <v>1961</v>
      </c>
      <c r="G870" t="s">
        <v>1797</v>
      </c>
      <c r="H870" t="s">
        <v>2014</v>
      </c>
      <c r="I870" t="s">
        <v>1799</v>
      </c>
      <c r="J870" t="s">
        <v>1799</v>
      </c>
      <c r="K870" t="s">
        <v>1799</v>
      </c>
      <c r="L870" t="s">
        <v>1799</v>
      </c>
      <c r="M870" t="s">
        <v>1799</v>
      </c>
      <c r="N870" t="s">
        <v>1799</v>
      </c>
      <c r="O870" s="184" t="str">
        <f>"["&amp;$C870&amp;"]["&amp;$D870&amp;"]["&amp;$F870&amp;"]"</f>
        <v>[S05_DefaultValues][274][FuelMaterialType]</v>
      </c>
    </row>
    <row r="871" spans="1:15" x14ac:dyDescent="0.3">
      <c r="A871" t="s">
        <v>1793</v>
      </c>
      <c r="B871" t="s">
        <v>1950</v>
      </c>
      <c r="C871" t="s">
        <v>1959</v>
      </c>
      <c r="D871">
        <v>275</v>
      </c>
      <c r="E871" t="s">
        <v>1447</v>
      </c>
      <c r="F871" t="s">
        <v>1961</v>
      </c>
      <c r="G871" t="s">
        <v>1797</v>
      </c>
      <c r="H871" t="s">
        <v>2016</v>
      </c>
      <c r="I871" t="s">
        <v>1799</v>
      </c>
      <c r="J871" t="s">
        <v>1799</v>
      </c>
      <c r="K871" t="s">
        <v>1799</v>
      </c>
      <c r="L871" t="s">
        <v>1799</v>
      </c>
      <c r="M871" t="s">
        <v>1799</v>
      </c>
      <c r="N871" t="s">
        <v>1799</v>
      </c>
      <c r="O871" s="184" t="str">
        <f>"["&amp;$C871&amp;"]["&amp;$D871&amp;"]["&amp;$F871&amp;"]"</f>
        <v>[S05_DefaultValues][275][FuelMaterialType]</v>
      </c>
    </row>
    <row r="872" spans="1:15" x14ac:dyDescent="0.3">
      <c r="A872" t="s">
        <v>1793</v>
      </c>
      <c r="B872" t="s">
        <v>1950</v>
      </c>
      <c r="C872" t="s">
        <v>1959</v>
      </c>
      <c r="D872">
        <v>276</v>
      </c>
      <c r="E872" t="s">
        <v>1447</v>
      </c>
      <c r="F872" t="s">
        <v>1961</v>
      </c>
      <c r="G872" t="s">
        <v>1797</v>
      </c>
      <c r="H872" t="s">
        <v>2017</v>
      </c>
      <c r="I872" t="s">
        <v>1799</v>
      </c>
      <c r="J872" t="s">
        <v>1799</v>
      </c>
      <c r="K872" t="s">
        <v>1799</v>
      </c>
      <c r="L872" t="s">
        <v>1799</v>
      </c>
      <c r="M872" t="s">
        <v>1799</v>
      </c>
      <c r="N872" t="s">
        <v>1799</v>
      </c>
      <c r="O872" s="184" t="str">
        <f>"["&amp;$C872&amp;"]["&amp;$D872&amp;"]["&amp;$F872&amp;"]"</f>
        <v>[S05_DefaultValues][276][FuelMaterialType]</v>
      </c>
    </row>
    <row r="873" spans="1:15" x14ac:dyDescent="0.3">
      <c r="A873" t="s">
        <v>1793</v>
      </c>
      <c r="B873" t="s">
        <v>1950</v>
      </c>
      <c r="C873" t="s">
        <v>1959</v>
      </c>
      <c r="D873">
        <v>277</v>
      </c>
      <c r="E873" t="s">
        <v>1447</v>
      </c>
      <c r="F873" t="s">
        <v>1961</v>
      </c>
      <c r="G873" t="s">
        <v>1797</v>
      </c>
      <c r="H873" t="s">
        <v>2018</v>
      </c>
      <c r="I873" t="s">
        <v>1799</v>
      </c>
      <c r="J873" t="s">
        <v>1799</v>
      </c>
      <c r="K873" t="s">
        <v>1799</v>
      </c>
      <c r="L873" t="s">
        <v>1799</v>
      </c>
      <c r="M873" t="s">
        <v>1799</v>
      </c>
      <c r="N873" t="s">
        <v>1799</v>
      </c>
      <c r="O873" s="184" t="str">
        <f>"["&amp;$C873&amp;"]["&amp;$D873&amp;"]["&amp;$F873&amp;"]"</f>
        <v>[S05_DefaultValues][277][FuelMaterialType]</v>
      </c>
    </row>
    <row r="874" spans="1:15" x14ac:dyDescent="0.3">
      <c r="A874" t="s">
        <v>1793</v>
      </c>
      <c r="B874" t="s">
        <v>1950</v>
      </c>
      <c r="C874" t="s">
        <v>1959</v>
      </c>
      <c r="D874">
        <v>278</v>
      </c>
      <c r="E874" t="s">
        <v>1447</v>
      </c>
      <c r="F874" t="s">
        <v>1961</v>
      </c>
      <c r="G874" t="s">
        <v>1797</v>
      </c>
      <c r="H874" t="s">
        <v>2019</v>
      </c>
      <c r="I874" t="s">
        <v>1799</v>
      </c>
      <c r="J874" t="s">
        <v>1799</v>
      </c>
      <c r="K874" t="s">
        <v>1799</v>
      </c>
      <c r="L874" t="s">
        <v>1799</v>
      </c>
      <c r="M874" t="s">
        <v>1799</v>
      </c>
      <c r="N874" t="s">
        <v>1799</v>
      </c>
      <c r="O874" s="184" t="str">
        <f>"["&amp;$C874&amp;"]["&amp;$D874&amp;"]["&amp;$F874&amp;"]"</f>
        <v>[S05_DefaultValues][278][FuelMaterialType]</v>
      </c>
    </row>
    <row r="875" spans="1:15" x14ac:dyDescent="0.3">
      <c r="A875" t="s">
        <v>1793</v>
      </c>
      <c r="B875" t="s">
        <v>1950</v>
      </c>
      <c r="C875" t="s">
        <v>1959</v>
      </c>
      <c r="D875">
        <v>279</v>
      </c>
      <c r="E875" t="s">
        <v>1447</v>
      </c>
      <c r="F875" t="s">
        <v>1961</v>
      </c>
      <c r="G875" t="s">
        <v>1797</v>
      </c>
      <c r="H875" t="s">
        <v>2020</v>
      </c>
      <c r="I875" t="s">
        <v>1799</v>
      </c>
      <c r="J875" t="s">
        <v>1799</v>
      </c>
      <c r="K875" t="s">
        <v>1799</v>
      </c>
      <c r="L875" t="s">
        <v>1799</v>
      </c>
      <c r="M875" t="s">
        <v>1799</v>
      </c>
      <c r="N875" t="s">
        <v>1799</v>
      </c>
      <c r="O875" s="184" t="str">
        <f>"["&amp;$C875&amp;"]["&amp;$D875&amp;"]["&amp;$F875&amp;"]"</f>
        <v>[S05_DefaultValues][279][FuelMaterialType]</v>
      </c>
    </row>
    <row r="876" spans="1:15" x14ac:dyDescent="0.3">
      <c r="A876" t="s">
        <v>1793</v>
      </c>
      <c r="B876" t="s">
        <v>1950</v>
      </c>
      <c r="C876" t="s">
        <v>1959</v>
      </c>
      <c r="D876">
        <v>280</v>
      </c>
      <c r="E876" t="s">
        <v>1447</v>
      </c>
      <c r="F876" t="s">
        <v>1961</v>
      </c>
      <c r="G876" t="s">
        <v>1797</v>
      </c>
      <c r="H876" t="s">
        <v>2021</v>
      </c>
      <c r="I876" t="s">
        <v>1799</v>
      </c>
      <c r="J876" t="s">
        <v>1799</v>
      </c>
      <c r="K876" t="s">
        <v>1799</v>
      </c>
      <c r="L876" t="s">
        <v>1799</v>
      </c>
      <c r="M876" t="s">
        <v>1799</v>
      </c>
      <c r="N876" t="s">
        <v>1799</v>
      </c>
      <c r="O876" s="184" t="str">
        <f>"["&amp;$C876&amp;"]["&amp;$D876&amp;"]["&amp;$F876&amp;"]"</f>
        <v>[S05_DefaultValues][280][FuelMaterialType]</v>
      </c>
    </row>
    <row r="877" spans="1:15" x14ac:dyDescent="0.3">
      <c r="A877" t="s">
        <v>1793</v>
      </c>
      <c r="B877" t="s">
        <v>1950</v>
      </c>
      <c r="C877" t="s">
        <v>1959</v>
      </c>
      <c r="D877">
        <v>281</v>
      </c>
      <c r="E877" t="s">
        <v>1447</v>
      </c>
      <c r="F877" t="s">
        <v>1961</v>
      </c>
      <c r="G877" t="s">
        <v>1797</v>
      </c>
      <c r="H877" t="s">
        <v>2023</v>
      </c>
      <c r="I877" t="s">
        <v>1799</v>
      </c>
      <c r="J877" t="s">
        <v>1799</v>
      </c>
      <c r="K877" t="s">
        <v>1799</v>
      </c>
      <c r="L877" t="s">
        <v>1799</v>
      </c>
      <c r="M877" t="s">
        <v>1799</v>
      </c>
      <c r="N877" t="s">
        <v>1799</v>
      </c>
      <c r="O877" s="184" t="str">
        <f>"["&amp;$C877&amp;"]["&amp;$D877&amp;"]["&amp;$F877&amp;"]"</f>
        <v>[S05_DefaultValues][281][FuelMaterialType]</v>
      </c>
    </row>
    <row r="878" spans="1:15" x14ac:dyDescent="0.3">
      <c r="A878" t="s">
        <v>1793</v>
      </c>
      <c r="B878" t="s">
        <v>1950</v>
      </c>
      <c r="C878" t="s">
        <v>1959</v>
      </c>
      <c r="D878">
        <v>282</v>
      </c>
      <c r="E878" t="s">
        <v>1447</v>
      </c>
      <c r="F878" t="s">
        <v>1961</v>
      </c>
      <c r="G878" t="s">
        <v>1797</v>
      </c>
      <c r="H878" t="s">
        <v>2024</v>
      </c>
      <c r="I878" t="s">
        <v>1799</v>
      </c>
      <c r="J878" t="s">
        <v>1799</v>
      </c>
      <c r="K878" t="s">
        <v>1799</v>
      </c>
      <c r="L878" t="s">
        <v>1799</v>
      </c>
      <c r="M878" t="s">
        <v>1799</v>
      </c>
      <c r="N878" t="s">
        <v>1799</v>
      </c>
      <c r="O878" s="184" t="str">
        <f>"["&amp;$C878&amp;"]["&amp;$D878&amp;"]["&amp;$F878&amp;"]"</f>
        <v>[S05_DefaultValues][282][FuelMaterialType]</v>
      </c>
    </row>
    <row r="879" spans="1:15" x14ac:dyDescent="0.3">
      <c r="A879" t="s">
        <v>1793</v>
      </c>
      <c r="B879" t="s">
        <v>1950</v>
      </c>
      <c r="C879" t="s">
        <v>1959</v>
      </c>
      <c r="D879">
        <v>283</v>
      </c>
      <c r="E879" t="s">
        <v>1447</v>
      </c>
      <c r="F879" t="s">
        <v>1961</v>
      </c>
      <c r="G879" t="s">
        <v>1797</v>
      </c>
      <c r="H879" t="s">
        <v>2025</v>
      </c>
      <c r="I879" t="s">
        <v>1799</v>
      </c>
      <c r="J879" t="s">
        <v>1799</v>
      </c>
      <c r="K879" t="s">
        <v>1799</v>
      </c>
      <c r="L879" t="s">
        <v>1799</v>
      </c>
      <c r="M879" t="s">
        <v>1799</v>
      </c>
      <c r="N879" t="s">
        <v>1799</v>
      </c>
      <c r="O879" s="184" t="str">
        <f>"["&amp;$C879&amp;"]["&amp;$D879&amp;"]["&amp;$F879&amp;"]"</f>
        <v>[S05_DefaultValues][283][FuelMaterialType]</v>
      </c>
    </row>
    <row r="880" spans="1:15" x14ac:dyDescent="0.3">
      <c r="A880" t="s">
        <v>1793</v>
      </c>
      <c r="B880" t="s">
        <v>1950</v>
      </c>
      <c r="C880" t="s">
        <v>1959</v>
      </c>
      <c r="D880">
        <v>284</v>
      </c>
      <c r="E880" t="s">
        <v>1447</v>
      </c>
      <c r="F880" t="s">
        <v>1961</v>
      </c>
      <c r="G880" t="s">
        <v>1797</v>
      </c>
      <c r="H880" t="s">
        <v>2027</v>
      </c>
      <c r="I880" t="s">
        <v>1799</v>
      </c>
      <c r="J880" t="s">
        <v>1799</v>
      </c>
      <c r="K880" t="s">
        <v>1799</v>
      </c>
      <c r="L880" t="s">
        <v>1799</v>
      </c>
      <c r="M880" t="s">
        <v>1799</v>
      </c>
      <c r="N880" t="s">
        <v>1799</v>
      </c>
      <c r="O880" s="184" t="str">
        <f>"["&amp;$C880&amp;"]["&amp;$D880&amp;"]["&amp;$F880&amp;"]"</f>
        <v>[S05_DefaultValues][284][FuelMaterialType]</v>
      </c>
    </row>
    <row r="881" spans="1:15" x14ac:dyDescent="0.3">
      <c r="A881" t="s">
        <v>1793</v>
      </c>
      <c r="B881" t="s">
        <v>1950</v>
      </c>
      <c r="C881" t="s">
        <v>1959</v>
      </c>
      <c r="D881">
        <v>285</v>
      </c>
      <c r="E881" t="s">
        <v>1447</v>
      </c>
      <c r="F881" t="s">
        <v>1961</v>
      </c>
      <c r="G881" t="s">
        <v>1797</v>
      </c>
      <c r="H881" t="s">
        <v>2028</v>
      </c>
      <c r="I881" t="s">
        <v>1799</v>
      </c>
      <c r="J881" t="s">
        <v>1799</v>
      </c>
      <c r="K881" t="s">
        <v>1799</v>
      </c>
      <c r="L881" t="s">
        <v>1799</v>
      </c>
      <c r="M881" t="s">
        <v>1799</v>
      </c>
      <c r="N881" t="s">
        <v>1799</v>
      </c>
      <c r="O881" s="184" t="str">
        <f>"["&amp;$C881&amp;"]["&amp;$D881&amp;"]["&amp;$F881&amp;"]"</f>
        <v>[S05_DefaultValues][285][FuelMaterialType]</v>
      </c>
    </row>
    <row r="882" spans="1:15" x14ac:dyDescent="0.3">
      <c r="A882" t="s">
        <v>1793</v>
      </c>
      <c r="B882" t="s">
        <v>1950</v>
      </c>
      <c r="C882" t="s">
        <v>1959</v>
      </c>
      <c r="D882">
        <v>286</v>
      </c>
      <c r="E882" t="s">
        <v>1447</v>
      </c>
      <c r="F882" t="s">
        <v>1961</v>
      </c>
      <c r="G882" t="s">
        <v>1797</v>
      </c>
      <c r="H882" t="s">
        <v>2071</v>
      </c>
      <c r="I882" t="s">
        <v>1799</v>
      </c>
      <c r="J882" t="s">
        <v>1799</v>
      </c>
      <c r="K882" t="s">
        <v>1799</v>
      </c>
      <c r="L882" t="s">
        <v>1799</v>
      </c>
      <c r="M882" t="s">
        <v>1799</v>
      </c>
      <c r="N882" t="s">
        <v>1799</v>
      </c>
      <c r="O882" s="184" t="str">
        <f>"["&amp;$C882&amp;"]["&amp;$D882&amp;"]["&amp;$F882&amp;"]"</f>
        <v>[S05_DefaultValues][286][FuelMaterialType]</v>
      </c>
    </row>
    <row r="883" spans="1:15" x14ac:dyDescent="0.3">
      <c r="A883" t="s">
        <v>1793</v>
      </c>
      <c r="B883" t="s">
        <v>1950</v>
      </c>
      <c r="C883" t="s">
        <v>1959</v>
      </c>
      <c r="D883">
        <v>287</v>
      </c>
      <c r="E883" t="s">
        <v>1447</v>
      </c>
      <c r="F883" t="s">
        <v>1961</v>
      </c>
      <c r="G883" t="s">
        <v>1797</v>
      </c>
      <c r="H883" t="s">
        <v>2029</v>
      </c>
      <c r="I883" t="s">
        <v>1799</v>
      </c>
      <c r="J883" t="s">
        <v>1799</v>
      </c>
      <c r="K883" t="s">
        <v>1799</v>
      </c>
      <c r="L883" t="s">
        <v>1799</v>
      </c>
      <c r="M883" t="s">
        <v>1799</v>
      </c>
      <c r="N883" t="s">
        <v>1799</v>
      </c>
      <c r="O883" s="184" t="str">
        <f>"["&amp;$C883&amp;"]["&amp;$D883&amp;"]["&amp;$F883&amp;"]"</f>
        <v>[S05_DefaultValues][287][FuelMaterialType]</v>
      </c>
    </row>
    <row r="884" spans="1:15" x14ac:dyDescent="0.3">
      <c r="A884" t="s">
        <v>1793</v>
      </c>
      <c r="B884" t="s">
        <v>1950</v>
      </c>
      <c r="C884" t="s">
        <v>1959</v>
      </c>
      <c r="D884">
        <v>288</v>
      </c>
      <c r="E884" t="s">
        <v>1447</v>
      </c>
      <c r="F884" t="s">
        <v>1961</v>
      </c>
      <c r="G884" t="s">
        <v>1797</v>
      </c>
      <c r="H884" t="s">
        <v>2030</v>
      </c>
      <c r="I884" t="s">
        <v>1799</v>
      </c>
      <c r="J884" t="s">
        <v>1799</v>
      </c>
      <c r="K884" t="s">
        <v>1799</v>
      </c>
      <c r="L884" t="s">
        <v>1799</v>
      </c>
      <c r="M884" t="s">
        <v>1799</v>
      </c>
      <c r="N884" t="s">
        <v>1799</v>
      </c>
      <c r="O884" s="184" t="str">
        <f>"["&amp;$C884&amp;"]["&amp;$D884&amp;"]["&amp;$F884&amp;"]"</f>
        <v>[S05_DefaultValues][288][FuelMaterialType]</v>
      </c>
    </row>
    <row r="885" spans="1:15" x14ac:dyDescent="0.3">
      <c r="A885" t="s">
        <v>1793</v>
      </c>
      <c r="B885" t="s">
        <v>1950</v>
      </c>
      <c r="C885" t="s">
        <v>1959</v>
      </c>
      <c r="D885">
        <v>289</v>
      </c>
      <c r="E885" t="s">
        <v>1447</v>
      </c>
      <c r="F885" t="s">
        <v>1961</v>
      </c>
      <c r="G885" t="s">
        <v>1797</v>
      </c>
      <c r="H885" t="s">
        <v>2072</v>
      </c>
      <c r="I885" t="s">
        <v>1799</v>
      </c>
      <c r="J885" t="s">
        <v>1799</v>
      </c>
      <c r="K885" t="s">
        <v>1799</v>
      </c>
      <c r="L885" t="s">
        <v>1799</v>
      </c>
      <c r="M885" t="s">
        <v>1799</v>
      </c>
      <c r="N885" t="s">
        <v>1799</v>
      </c>
      <c r="O885" s="184" t="str">
        <f>"["&amp;$C885&amp;"]["&amp;$D885&amp;"]["&amp;$F885&amp;"]"</f>
        <v>[S05_DefaultValues][289][FuelMaterialType]</v>
      </c>
    </row>
    <row r="886" spans="1:15" x14ac:dyDescent="0.3">
      <c r="A886" t="s">
        <v>1793</v>
      </c>
      <c r="B886" t="s">
        <v>1950</v>
      </c>
      <c r="C886" t="s">
        <v>1959</v>
      </c>
      <c r="D886">
        <v>290</v>
      </c>
      <c r="E886" t="s">
        <v>1447</v>
      </c>
      <c r="F886" t="s">
        <v>1961</v>
      </c>
      <c r="G886" t="s">
        <v>1797</v>
      </c>
      <c r="H886" t="s">
        <v>2084</v>
      </c>
      <c r="I886" t="s">
        <v>1799</v>
      </c>
      <c r="J886" t="s">
        <v>1799</v>
      </c>
      <c r="K886" t="s">
        <v>1799</v>
      </c>
      <c r="L886" t="s">
        <v>1799</v>
      </c>
      <c r="M886" t="s">
        <v>1799</v>
      </c>
      <c r="N886" t="s">
        <v>1799</v>
      </c>
      <c r="O886" s="184" t="str">
        <f>"["&amp;$C886&amp;"]["&amp;$D886&amp;"]["&amp;$F886&amp;"]"</f>
        <v>[S05_DefaultValues][290][FuelMaterialType]</v>
      </c>
    </row>
    <row r="887" spans="1:15" x14ac:dyDescent="0.3">
      <c r="A887" t="s">
        <v>1793</v>
      </c>
      <c r="B887" t="s">
        <v>1950</v>
      </c>
      <c r="C887" t="s">
        <v>1959</v>
      </c>
      <c r="D887">
        <v>291</v>
      </c>
      <c r="E887" t="s">
        <v>1447</v>
      </c>
      <c r="F887" t="s">
        <v>1961</v>
      </c>
      <c r="G887" t="s">
        <v>1797</v>
      </c>
      <c r="H887" t="s">
        <v>2035</v>
      </c>
      <c r="I887" t="s">
        <v>1799</v>
      </c>
      <c r="J887" t="s">
        <v>1799</v>
      </c>
      <c r="K887" t="s">
        <v>1799</v>
      </c>
      <c r="L887" t="s">
        <v>1799</v>
      </c>
      <c r="M887" t="s">
        <v>1799</v>
      </c>
      <c r="N887" t="s">
        <v>1799</v>
      </c>
      <c r="O887" s="184" t="str">
        <f>"["&amp;$C887&amp;"]["&amp;$D887&amp;"]["&amp;$F887&amp;"]"</f>
        <v>[S05_DefaultValues][291][FuelMaterialType]</v>
      </c>
    </row>
    <row r="888" spans="1:15" x14ac:dyDescent="0.3">
      <c r="A888" t="s">
        <v>1793</v>
      </c>
      <c r="B888" t="s">
        <v>1950</v>
      </c>
      <c r="C888" t="s">
        <v>1959</v>
      </c>
      <c r="D888">
        <v>292</v>
      </c>
      <c r="E888" t="s">
        <v>1447</v>
      </c>
      <c r="F888" t="s">
        <v>1961</v>
      </c>
      <c r="G888" t="s">
        <v>1797</v>
      </c>
      <c r="H888" t="s">
        <v>2036</v>
      </c>
      <c r="I888" t="s">
        <v>1799</v>
      </c>
      <c r="J888" t="s">
        <v>1799</v>
      </c>
      <c r="K888" t="s">
        <v>1799</v>
      </c>
      <c r="L888" t="s">
        <v>1799</v>
      </c>
      <c r="M888" t="s">
        <v>1799</v>
      </c>
      <c r="N888" t="s">
        <v>1799</v>
      </c>
      <c r="O888" s="184" t="str">
        <f>"["&amp;$C888&amp;"]["&amp;$D888&amp;"]["&amp;$F888&amp;"]"</f>
        <v>[S05_DefaultValues][292][FuelMaterialType]</v>
      </c>
    </row>
    <row r="889" spans="1:15" x14ac:dyDescent="0.3">
      <c r="A889" t="s">
        <v>1793</v>
      </c>
      <c r="B889" t="s">
        <v>1950</v>
      </c>
      <c r="C889" t="s">
        <v>1959</v>
      </c>
      <c r="D889">
        <v>293</v>
      </c>
      <c r="E889" t="s">
        <v>1447</v>
      </c>
      <c r="F889" t="s">
        <v>1961</v>
      </c>
      <c r="G889" t="s">
        <v>1797</v>
      </c>
      <c r="H889" t="s">
        <v>2085</v>
      </c>
      <c r="I889" t="s">
        <v>1799</v>
      </c>
      <c r="J889" t="s">
        <v>1799</v>
      </c>
      <c r="K889" t="s">
        <v>1799</v>
      </c>
      <c r="L889" t="s">
        <v>1799</v>
      </c>
      <c r="M889" t="s">
        <v>1799</v>
      </c>
      <c r="N889" t="s">
        <v>1799</v>
      </c>
      <c r="O889" s="184" t="str">
        <f>"["&amp;$C889&amp;"]["&amp;$D889&amp;"]["&amp;$F889&amp;"]"</f>
        <v>[S05_DefaultValues][293][FuelMaterialType]</v>
      </c>
    </row>
    <row r="890" spans="1:15" x14ac:dyDescent="0.3">
      <c r="A890" t="s">
        <v>1793</v>
      </c>
      <c r="B890" t="s">
        <v>1950</v>
      </c>
      <c r="C890" t="s">
        <v>1959</v>
      </c>
      <c r="D890">
        <v>294</v>
      </c>
      <c r="E890" t="s">
        <v>1447</v>
      </c>
      <c r="F890" t="s">
        <v>1961</v>
      </c>
      <c r="G890" t="s">
        <v>1797</v>
      </c>
      <c r="H890" t="s">
        <v>2042</v>
      </c>
      <c r="I890" t="s">
        <v>1799</v>
      </c>
      <c r="J890" t="s">
        <v>1799</v>
      </c>
      <c r="K890" t="s">
        <v>1799</v>
      </c>
      <c r="L890" t="s">
        <v>1799</v>
      </c>
      <c r="M890" t="s">
        <v>1799</v>
      </c>
      <c r="N890" t="s">
        <v>1799</v>
      </c>
      <c r="O890" s="184" t="str">
        <f>"["&amp;$C890&amp;"]["&amp;$D890&amp;"]["&amp;$F890&amp;"]"</f>
        <v>[S05_DefaultValues][294][FuelMaterialType]</v>
      </c>
    </row>
    <row r="891" spans="1:15" x14ac:dyDescent="0.3">
      <c r="A891" t="s">
        <v>1793</v>
      </c>
      <c r="B891" t="s">
        <v>1950</v>
      </c>
      <c r="C891" t="s">
        <v>1959</v>
      </c>
      <c r="D891">
        <v>295</v>
      </c>
      <c r="E891" t="s">
        <v>1447</v>
      </c>
      <c r="F891" t="s">
        <v>1961</v>
      </c>
      <c r="G891" t="s">
        <v>1797</v>
      </c>
      <c r="H891" t="s">
        <v>2043</v>
      </c>
      <c r="I891" t="s">
        <v>1799</v>
      </c>
      <c r="J891" t="s">
        <v>1799</v>
      </c>
      <c r="K891" t="s">
        <v>1799</v>
      </c>
      <c r="L891" t="s">
        <v>1799</v>
      </c>
      <c r="M891" t="s">
        <v>1799</v>
      </c>
      <c r="N891" t="s">
        <v>1799</v>
      </c>
      <c r="O891" s="184" t="str">
        <f>"["&amp;$C891&amp;"]["&amp;$D891&amp;"]["&amp;$F891&amp;"]"</f>
        <v>[S05_DefaultValues][295][FuelMaterialType]</v>
      </c>
    </row>
    <row r="892" spans="1:15" x14ac:dyDescent="0.3">
      <c r="A892" t="s">
        <v>1793</v>
      </c>
      <c r="B892" t="s">
        <v>1950</v>
      </c>
      <c r="C892" t="s">
        <v>1959</v>
      </c>
      <c r="D892">
        <v>296</v>
      </c>
      <c r="E892" t="s">
        <v>1447</v>
      </c>
      <c r="F892" t="s">
        <v>1961</v>
      </c>
      <c r="G892" t="s">
        <v>1797</v>
      </c>
      <c r="H892" t="s">
        <v>2086</v>
      </c>
      <c r="I892" t="s">
        <v>1799</v>
      </c>
      <c r="J892" t="s">
        <v>1799</v>
      </c>
      <c r="K892" t="s">
        <v>1799</v>
      </c>
      <c r="L892" t="s">
        <v>1799</v>
      </c>
      <c r="M892" t="s">
        <v>1799</v>
      </c>
      <c r="N892" t="s">
        <v>1799</v>
      </c>
      <c r="O892" s="184" t="str">
        <f>"["&amp;$C892&amp;"]["&amp;$D892&amp;"]["&amp;$F892&amp;"]"</f>
        <v>[S05_DefaultValues][296][FuelMaterialType]</v>
      </c>
    </row>
    <row r="893" spans="1:15" x14ac:dyDescent="0.3">
      <c r="A893" t="s">
        <v>1793</v>
      </c>
      <c r="B893" t="s">
        <v>1950</v>
      </c>
      <c r="C893" t="s">
        <v>1959</v>
      </c>
      <c r="D893">
        <v>297</v>
      </c>
      <c r="E893" t="s">
        <v>1447</v>
      </c>
      <c r="F893" t="s">
        <v>1961</v>
      </c>
      <c r="G893" t="s">
        <v>1797</v>
      </c>
      <c r="H893" t="s">
        <v>2044</v>
      </c>
      <c r="I893" t="s">
        <v>1799</v>
      </c>
      <c r="J893" t="s">
        <v>1799</v>
      </c>
      <c r="K893" t="s">
        <v>1799</v>
      </c>
      <c r="L893" t="s">
        <v>1799</v>
      </c>
      <c r="M893" t="s">
        <v>1799</v>
      </c>
      <c r="N893" t="s">
        <v>1799</v>
      </c>
      <c r="O893" s="184" t="str">
        <f>"["&amp;$C893&amp;"]["&amp;$D893&amp;"]["&amp;$F893&amp;"]"</f>
        <v>[S05_DefaultValues][297][FuelMaterialType]</v>
      </c>
    </row>
    <row r="894" spans="1:15" x14ac:dyDescent="0.3">
      <c r="A894" t="s">
        <v>1793</v>
      </c>
      <c r="B894" t="s">
        <v>1950</v>
      </c>
      <c r="C894" t="s">
        <v>1959</v>
      </c>
      <c r="D894">
        <v>1</v>
      </c>
      <c r="E894" t="s">
        <v>1447</v>
      </c>
      <c r="F894" t="s">
        <v>2087</v>
      </c>
      <c r="G894" t="s">
        <v>1811</v>
      </c>
      <c r="H894" t="s">
        <v>1799</v>
      </c>
      <c r="I894">
        <v>1</v>
      </c>
      <c r="J894" t="s">
        <v>1799</v>
      </c>
      <c r="K894" t="s">
        <v>1799</v>
      </c>
      <c r="L894" t="s">
        <v>1799</v>
      </c>
      <c r="M894" t="s">
        <v>1799</v>
      </c>
      <c r="N894" t="s">
        <v>1799</v>
      </c>
      <c r="O894" s="184" t="str">
        <f>"["&amp;$C894&amp;"]["&amp;$D894&amp;"]["&amp;$F894&amp;"]"</f>
        <v>[S05_DefaultValues][1][InstallationNumber]</v>
      </c>
    </row>
    <row r="895" spans="1:15" x14ac:dyDescent="0.3">
      <c r="A895" t="s">
        <v>1793</v>
      </c>
      <c r="B895" t="s">
        <v>1950</v>
      </c>
      <c r="C895" t="s">
        <v>1959</v>
      </c>
      <c r="D895">
        <v>2</v>
      </c>
      <c r="E895" t="s">
        <v>1447</v>
      </c>
      <c r="F895" t="s">
        <v>2087</v>
      </c>
      <c r="G895" t="s">
        <v>1811</v>
      </c>
      <c r="H895" t="s">
        <v>1799</v>
      </c>
      <c r="I895">
        <v>3</v>
      </c>
      <c r="J895" t="s">
        <v>1799</v>
      </c>
      <c r="K895" t="s">
        <v>1799</v>
      </c>
      <c r="L895" t="s">
        <v>1799</v>
      </c>
      <c r="M895" t="s">
        <v>1799</v>
      </c>
      <c r="N895" t="s">
        <v>1799</v>
      </c>
      <c r="O895" s="184" t="str">
        <f>"["&amp;$C895&amp;"]["&amp;$D895&amp;"]["&amp;$F895&amp;"]"</f>
        <v>[S05_DefaultValues][2][InstallationNumber]</v>
      </c>
    </row>
    <row r="896" spans="1:15" x14ac:dyDescent="0.3">
      <c r="A896" t="s">
        <v>1793</v>
      </c>
      <c r="B896" t="s">
        <v>1950</v>
      </c>
      <c r="C896" t="s">
        <v>1959</v>
      </c>
      <c r="D896">
        <v>3</v>
      </c>
      <c r="E896" t="s">
        <v>1447</v>
      </c>
      <c r="F896" t="s">
        <v>2087</v>
      </c>
      <c r="G896" t="s">
        <v>1811</v>
      </c>
      <c r="H896" t="s">
        <v>1799</v>
      </c>
      <c r="I896">
        <v>4</v>
      </c>
      <c r="J896" t="s">
        <v>1799</v>
      </c>
      <c r="K896" t="s">
        <v>1799</v>
      </c>
      <c r="L896" t="s">
        <v>1799</v>
      </c>
      <c r="M896" t="s">
        <v>1799</v>
      </c>
      <c r="N896" t="s">
        <v>1799</v>
      </c>
      <c r="O896" s="184" t="str">
        <f>"["&amp;$C896&amp;"]["&amp;$D896&amp;"]["&amp;$F896&amp;"]"</f>
        <v>[S05_DefaultValues][3][InstallationNumber]</v>
      </c>
    </row>
    <row r="897" spans="1:15" x14ac:dyDescent="0.3">
      <c r="A897" t="s">
        <v>1793</v>
      </c>
      <c r="B897" t="s">
        <v>1950</v>
      </c>
      <c r="C897" t="s">
        <v>1959</v>
      </c>
      <c r="D897">
        <v>4</v>
      </c>
      <c r="E897" t="s">
        <v>1447</v>
      </c>
      <c r="F897" t="s">
        <v>2087</v>
      </c>
      <c r="G897" t="s">
        <v>1811</v>
      </c>
      <c r="H897" t="s">
        <v>1799</v>
      </c>
      <c r="I897">
        <v>8</v>
      </c>
      <c r="J897" t="s">
        <v>1799</v>
      </c>
      <c r="K897" t="s">
        <v>1799</v>
      </c>
      <c r="L897" t="s">
        <v>1799</v>
      </c>
      <c r="M897" t="s">
        <v>1799</v>
      </c>
      <c r="N897" t="s">
        <v>1799</v>
      </c>
      <c r="O897" s="184" t="str">
        <f>"["&amp;$C897&amp;"]["&amp;$D897&amp;"]["&amp;$F897&amp;"]"</f>
        <v>[S05_DefaultValues][4][InstallationNumber]</v>
      </c>
    </row>
    <row r="898" spans="1:15" x14ac:dyDescent="0.3">
      <c r="A898" t="s">
        <v>1793</v>
      </c>
      <c r="B898" t="s">
        <v>1950</v>
      </c>
      <c r="C898" t="s">
        <v>1959</v>
      </c>
      <c r="D898">
        <v>5</v>
      </c>
      <c r="E898" t="s">
        <v>1447</v>
      </c>
      <c r="F898" t="s">
        <v>2087</v>
      </c>
      <c r="G898" t="s">
        <v>1811</v>
      </c>
      <c r="H898" t="s">
        <v>1799</v>
      </c>
      <c r="I898">
        <v>13</v>
      </c>
      <c r="J898" t="s">
        <v>1799</v>
      </c>
      <c r="K898" t="s">
        <v>1799</v>
      </c>
      <c r="L898" t="s">
        <v>1799</v>
      </c>
      <c r="M898" t="s">
        <v>1799</v>
      </c>
      <c r="N898" t="s">
        <v>1799</v>
      </c>
      <c r="O898" s="184" t="str">
        <f>"["&amp;$C898&amp;"]["&amp;$D898&amp;"]["&amp;$F898&amp;"]"</f>
        <v>[S05_DefaultValues][5][InstallationNumber]</v>
      </c>
    </row>
    <row r="899" spans="1:15" x14ac:dyDescent="0.3">
      <c r="A899" t="s">
        <v>1793</v>
      </c>
      <c r="B899" t="s">
        <v>1950</v>
      </c>
      <c r="C899" t="s">
        <v>1959</v>
      </c>
      <c r="D899">
        <v>6</v>
      </c>
      <c r="E899" t="s">
        <v>1447</v>
      </c>
      <c r="F899" t="s">
        <v>2087</v>
      </c>
      <c r="G899" t="s">
        <v>1811</v>
      </c>
      <c r="H899" t="s">
        <v>1799</v>
      </c>
      <c r="I899">
        <v>1</v>
      </c>
      <c r="J899" t="s">
        <v>1799</v>
      </c>
      <c r="K899" t="s">
        <v>1799</v>
      </c>
      <c r="L899" t="s">
        <v>1799</v>
      </c>
      <c r="M899" t="s">
        <v>1799</v>
      </c>
      <c r="N899" t="s">
        <v>1799</v>
      </c>
      <c r="O899" s="184" t="str">
        <f>"["&amp;$C899&amp;"]["&amp;$D899&amp;"]["&amp;$F899&amp;"]"</f>
        <v>[S05_DefaultValues][6][InstallationNumber]</v>
      </c>
    </row>
    <row r="900" spans="1:15" x14ac:dyDescent="0.3">
      <c r="A900" t="s">
        <v>1793</v>
      </c>
      <c r="B900" t="s">
        <v>1950</v>
      </c>
      <c r="C900" t="s">
        <v>1959</v>
      </c>
      <c r="D900">
        <v>7</v>
      </c>
      <c r="E900" t="s">
        <v>1447</v>
      </c>
      <c r="F900" t="s">
        <v>2087</v>
      </c>
      <c r="G900" t="s">
        <v>1811</v>
      </c>
      <c r="H900" t="s">
        <v>1799</v>
      </c>
      <c r="I900">
        <v>18</v>
      </c>
      <c r="J900" t="s">
        <v>1799</v>
      </c>
      <c r="K900" t="s">
        <v>1799</v>
      </c>
      <c r="L900" t="s">
        <v>1799</v>
      </c>
      <c r="M900" t="s">
        <v>1799</v>
      </c>
      <c r="N900" t="s">
        <v>1799</v>
      </c>
      <c r="O900" s="184" t="str">
        <f>"["&amp;$C900&amp;"]["&amp;$D900&amp;"]["&amp;$F900&amp;"]"</f>
        <v>[S05_DefaultValues][7][InstallationNumber]</v>
      </c>
    </row>
    <row r="901" spans="1:15" x14ac:dyDescent="0.3">
      <c r="A901" t="s">
        <v>1793</v>
      </c>
      <c r="B901" t="s">
        <v>1950</v>
      </c>
      <c r="C901" t="s">
        <v>1959</v>
      </c>
      <c r="D901">
        <v>8</v>
      </c>
      <c r="E901" t="s">
        <v>1447</v>
      </c>
      <c r="F901" t="s">
        <v>2087</v>
      </c>
      <c r="G901" t="s">
        <v>1811</v>
      </c>
      <c r="H901" t="s">
        <v>1799</v>
      </c>
      <c r="I901">
        <v>1</v>
      </c>
      <c r="J901" t="s">
        <v>1799</v>
      </c>
      <c r="K901" t="s">
        <v>1799</v>
      </c>
      <c r="L901" t="s">
        <v>1799</v>
      </c>
      <c r="M901" t="s">
        <v>1799</v>
      </c>
      <c r="N901" t="s">
        <v>1799</v>
      </c>
      <c r="O901" s="184" t="str">
        <f>"["&amp;$C901&amp;"]["&amp;$D901&amp;"]["&amp;$F901&amp;"]"</f>
        <v>[S05_DefaultValues][8][InstallationNumber]</v>
      </c>
    </row>
    <row r="902" spans="1:15" x14ac:dyDescent="0.3">
      <c r="A902" t="s">
        <v>1793</v>
      </c>
      <c r="B902" t="s">
        <v>1950</v>
      </c>
      <c r="C902" t="s">
        <v>1959</v>
      </c>
      <c r="D902">
        <v>9</v>
      </c>
      <c r="E902" t="s">
        <v>1447</v>
      </c>
      <c r="F902" t="s">
        <v>2087</v>
      </c>
      <c r="G902" t="s">
        <v>1811</v>
      </c>
      <c r="H902" t="s">
        <v>1799</v>
      </c>
      <c r="I902">
        <v>12</v>
      </c>
      <c r="J902" t="s">
        <v>1799</v>
      </c>
      <c r="K902" t="s">
        <v>1799</v>
      </c>
      <c r="L902" t="s">
        <v>1799</v>
      </c>
      <c r="M902" t="s">
        <v>1799</v>
      </c>
      <c r="N902" t="s">
        <v>1799</v>
      </c>
      <c r="O902" s="184" t="str">
        <f>"["&amp;$C902&amp;"]["&amp;$D902&amp;"]["&amp;$F902&amp;"]"</f>
        <v>[S05_DefaultValues][9][InstallationNumber]</v>
      </c>
    </row>
    <row r="903" spans="1:15" x14ac:dyDescent="0.3">
      <c r="A903" t="s">
        <v>1793</v>
      </c>
      <c r="B903" t="s">
        <v>1950</v>
      </c>
      <c r="C903" t="s">
        <v>1959</v>
      </c>
      <c r="D903">
        <v>10</v>
      </c>
      <c r="E903" t="s">
        <v>1447</v>
      </c>
      <c r="F903" t="s">
        <v>2087</v>
      </c>
      <c r="G903" t="s">
        <v>1811</v>
      </c>
      <c r="H903" t="s">
        <v>1799</v>
      </c>
      <c r="I903">
        <v>4</v>
      </c>
      <c r="J903" t="s">
        <v>1799</v>
      </c>
      <c r="K903" t="s">
        <v>1799</v>
      </c>
      <c r="L903" t="s">
        <v>1799</v>
      </c>
      <c r="M903" t="s">
        <v>1799</v>
      </c>
      <c r="N903" t="s">
        <v>1799</v>
      </c>
      <c r="O903" s="184" t="str">
        <f>"["&amp;$C903&amp;"]["&amp;$D903&amp;"]["&amp;$F903&amp;"]"</f>
        <v>[S05_DefaultValues][10][InstallationNumber]</v>
      </c>
    </row>
    <row r="904" spans="1:15" x14ac:dyDescent="0.3">
      <c r="A904" t="s">
        <v>1793</v>
      </c>
      <c r="B904" t="s">
        <v>1950</v>
      </c>
      <c r="C904" t="s">
        <v>1959</v>
      </c>
      <c r="D904">
        <v>11</v>
      </c>
      <c r="E904" t="s">
        <v>1447</v>
      </c>
      <c r="F904" t="s">
        <v>2087</v>
      </c>
      <c r="G904" t="s">
        <v>1811</v>
      </c>
      <c r="H904" t="s">
        <v>1799</v>
      </c>
      <c r="I904">
        <v>17</v>
      </c>
      <c r="J904" t="s">
        <v>1799</v>
      </c>
      <c r="K904" t="s">
        <v>1799</v>
      </c>
      <c r="L904" t="s">
        <v>1799</v>
      </c>
      <c r="M904" t="s">
        <v>1799</v>
      </c>
      <c r="N904" t="s">
        <v>1799</v>
      </c>
      <c r="O904" s="184" t="str">
        <f>"["&amp;$C904&amp;"]["&amp;$D904&amp;"]["&amp;$F904&amp;"]"</f>
        <v>[S05_DefaultValues][11][InstallationNumber]</v>
      </c>
    </row>
    <row r="905" spans="1:15" x14ac:dyDescent="0.3">
      <c r="A905" t="s">
        <v>1793</v>
      </c>
      <c r="B905" t="s">
        <v>1950</v>
      </c>
      <c r="C905" t="s">
        <v>1959</v>
      </c>
      <c r="D905">
        <v>12</v>
      </c>
      <c r="E905" t="s">
        <v>1447</v>
      </c>
      <c r="F905" t="s">
        <v>2087</v>
      </c>
      <c r="G905" t="s">
        <v>1811</v>
      </c>
      <c r="H905" t="s">
        <v>1799</v>
      </c>
      <c r="I905">
        <v>1</v>
      </c>
      <c r="J905" t="s">
        <v>1799</v>
      </c>
      <c r="K905" t="s">
        <v>1799</v>
      </c>
      <c r="L905" t="s">
        <v>1799</v>
      </c>
      <c r="M905" t="s">
        <v>1799</v>
      </c>
      <c r="N905" t="s">
        <v>1799</v>
      </c>
      <c r="O905" s="184" t="str">
        <f>"["&amp;$C905&amp;"]["&amp;$D905&amp;"]["&amp;$F905&amp;"]"</f>
        <v>[S05_DefaultValues][12][InstallationNumber]</v>
      </c>
    </row>
    <row r="906" spans="1:15" x14ac:dyDescent="0.3">
      <c r="A906" t="s">
        <v>1793</v>
      </c>
      <c r="B906" t="s">
        <v>1950</v>
      </c>
      <c r="C906" t="s">
        <v>1959</v>
      </c>
      <c r="D906">
        <v>13</v>
      </c>
      <c r="E906" t="s">
        <v>1447</v>
      </c>
      <c r="F906" t="s">
        <v>2087</v>
      </c>
      <c r="G906" t="s">
        <v>1811</v>
      </c>
      <c r="H906" t="s">
        <v>1799</v>
      </c>
      <c r="I906">
        <v>2</v>
      </c>
      <c r="J906" t="s">
        <v>1799</v>
      </c>
      <c r="K906" t="s">
        <v>1799</v>
      </c>
      <c r="L906" t="s">
        <v>1799</v>
      </c>
      <c r="M906" t="s">
        <v>1799</v>
      </c>
      <c r="N906" t="s">
        <v>1799</v>
      </c>
      <c r="O906" s="184" t="str">
        <f>"["&amp;$C906&amp;"]["&amp;$D906&amp;"]["&amp;$F906&amp;"]"</f>
        <v>[S05_DefaultValues][13][InstallationNumber]</v>
      </c>
    </row>
    <row r="907" spans="1:15" x14ac:dyDescent="0.3">
      <c r="A907" t="s">
        <v>1793</v>
      </c>
      <c r="B907" t="s">
        <v>1950</v>
      </c>
      <c r="C907" t="s">
        <v>1959</v>
      </c>
      <c r="D907">
        <v>14</v>
      </c>
      <c r="E907" t="s">
        <v>1447</v>
      </c>
      <c r="F907" t="s">
        <v>2087</v>
      </c>
      <c r="G907" t="s">
        <v>1811</v>
      </c>
      <c r="H907" t="s">
        <v>1799</v>
      </c>
      <c r="I907">
        <v>1</v>
      </c>
      <c r="J907" t="s">
        <v>1799</v>
      </c>
      <c r="K907" t="s">
        <v>1799</v>
      </c>
      <c r="L907" t="s">
        <v>1799</v>
      </c>
      <c r="M907" t="s">
        <v>1799</v>
      </c>
      <c r="N907" t="s">
        <v>1799</v>
      </c>
      <c r="O907" s="184" t="str">
        <f>"["&amp;$C907&amp;"]["&amp;$D907&amp;"]["&amp;$F907&amp;"]"</f>
        <v>[S05_DefaultValues][14][InstallationNumber]</v>
      </c>
    </row>
    <row r="908" spans="1:15" x14ac:dyDescent="0.3">
      <c r="A908" t="s">
        <v>1793</v>
      </c>
      <c r="B908" t="s">
        <v>1950</v>
      </c>
      <c r="C908" t="s">
        <v>1959</v>
      </c>
      <c r="D908">
        <v>15</v>
      </c>
      <c r="E908" t="s">
        <v>1447</v>
      </c>
      <c r="F908" t="s">
        <v>2087</v>
      </c>
      <c r="G908" t="s">
        <v>1811</v>
      </c>
      <c r="H908" t="s">
        <v>1799</v>
      </c>
      <c r="I908">
        <v>2</v>
      </c>
      <c r="J908" t="s">
        <v>1799</v>
      </c>
      <c r="K908" t="s">
        <v>1799</v>
      </c>
      <c r="L908" t="s">
        <v>1799</v>
      </c>
      <c r="M908" t="s">
        <v>1799</v>
      </c>
      <c r="N908" t="s">
        <v>1799</v>
      </c>
      <c r="O908" s="184" t="str">
        <f>"["&amp;$C908&amp;"]["&amp;$D908&amp;"]["&amp;$F908&amp;"]"</f>
        <v>[S05_DefaultValues][15][InstallationNumber]</v>
      </c>
    </row>
    <row r="909" spans="1:15" x14ac:dyDescent="0.3">
      <c r="A909" t="s">
        <v>1793</v>
      </c>
      <c r="B909" t="s">
        <v>1950</v>
      </c>
      <c r="C909" t="s">
        <v>1959</v>
      </c>
      <c r="D909">
        <v>16</v>
      </c>
      <c r="E909" t="s">
        <v>1447</v>
      </c>
      <c r="F909" t="s">
        <v>2087</v>
      </c>
      <c r="G909" t="s">
        <v>1811</v>
      </c>
      <c r="H909" t="s">
        <v>1799</v>
      </c>
      <c r="I909">
        <v>1</v>
      </c>
      <c r="J909" t="s">
        <v>1799</v>
      </c>
      <c r="K909" t="s">
        <v>1799</v>
      </c>
      <c r="L909" t="s">
        <v>1799</v>
      </c>
      <c r="M909" t="s">
        <v>1799</v>
      </c>
      <c r="N909" t="s">
        <v>1799</v>
      </c>
      <c r="O909" s="184" t="str">
        <f>"["&amp;$C909&amp;"]["&amp;$D909&amp;"]["&amp;$F909&amp;"]"</f>
        <v>[S05_DefaultValues][16][InstallationNumber]</v>
      </c>
    </row>
    <row r="910" spans="1:15" x14ac:dyDescent="0.3">
      <c r="A910" t="s">
        <v>1793</v>
      </c>
      <c r="B910" t="s">
        <v>1950</v>
      </c>
      <c r="C910" t="s">
        <v>1959</v>
      </c>
      <c r="D910">
        <v>17</v>
      </c>
      <c r="E910" t="s">
        <v>1447</v>
      </c>
      <c r="F910" t="s">
        <v>2087</v>
      </c>
      <c r="G910" t="s">
        <v>1811</v>
      </c>
      <c r="H910" t="s">
        <v>1799</v>
      </c>
      <c r="I910">
        <v>75</v>
      </c>
      <c r="J910" t="s">
        <v>1799</v>
      </c>
      <c r="K910" t="s">
        <v>1799</v>
      </c>
      <c r="L910" t="s">
        <v>1799</v>
      </c>
      <c r="M910" t="s">
        <v>1799</v>
      </c>
      <c r="N910" t="s">
        <v>1799</v>
      </c>
      <c r="O910" s="184" t="str">
        <f>"["&amp;$C910&amp;"]["&amp;$D910&amp;"]["&amp;$F910&amp;"]"</f>
        <v>[S05_DefaultValues][17][InstallationNumber]</v>
      </c>
    </row>
    <row r="911" spans="1:15" x14ac:dyDescent="0.3">
      <c r="A911" t="s">
        <v>1793</v>
      </c>
      <c r="B911" t="s">
        <v>1950</v>
      </c>
      <c r="C911" t="s">
        <v>1959</v>
      </c>
      <c r="D911">
        <v>18</v>
      </c>
      <c r="E911" t="s">
        <v>1447</v>
      </c>
      <c r="F911" t="s">
        <v>2087</v>
      </c>
      <c r="G911" t="s">
        <v>1811</v>
      </c>
      <c r="H911" t="s">
        <v>1799</v>
      </c>
      <c r="I911">
        <v>2</v>
      </c>
      <c r="J911" t="s">
        <v>1799</v>
      </c>
      <c r="K911" t="s">
        <v>1799</v>
      </c>
      <c r="L911" t="s">
        <v>1799</v>
      </c>
      <c r="M911" t="s">
        <v>1799</v>
      </c>
      <c r="N911" t="s">
        <v>1799</v>
      </c>
      <c r="O911" s="184" t="str">
        <f>"["&amp;$C911&amp;"]["&amp;$D911&amp;"]["&amp;$F911&amp;"]"</f>
        <v>[S05_DefaultValues][18][InstallationNumber]</v>
      </c>
    </row>
    <row r="912" spans="1:15" x14ac:dyDescent="0.3">
      <c r="A912" t="s">
        <v>1793</v>
      </c>
      <c r="B912" t="s">
        <v>1950</v>
      </c>
      <c r="C912" t="s">
        <v>1959</v>
      </c>
      <c r="D912">
        <v>19</v>
      </c>
      <c r="E912" t="s">
        <v>1447</v>
      </c>
      <c r="F912" t="s">
        <v>2087</v>
      </c>
      <c r="G912" t="s">
        <v>1811</v>
      </c>
      <c r="H912" t="s">
        <v>1799</v>
      </c>
      <c r="I912">
        <v>126</v>
      </c>
      <c r="J912" t="s">
        <v>1799</v>
      </c>
      <c r="K912" t="s">
        <v>1799</v>
      </c>
      <c r="L912" t="s">
        <v>1799</v>
      </c>
      <c r="M912" t="s">
        <v>1799</v>
      </c>
      <c r="N912" t="s">
        <v>1799</v>
      </c>
      <c r="O912" s="184" t="str">
        <f>"["&amp;$C912&amp;"]["&amp;$D912&amp;"]["&amp;$F912&amp;"]"</f>
        <v>[S05_DefaultValues][19][InstallationNumber]</v>
      </c>
    </row>
    <row r="913" spans="1:15" x14ac:dyDescent="0.3">
      <c r="A913" t="s">
        <v>1793</v>
      </c>
      <c r="B913" t="s">
        <v>1950</v>
      </c>
      <c r="C913" t="s">
        <v>1959</v>
      </c>
      <c r="D913">
        <v>20</v>
      </c>
      <c r="E913" t="s">
        <v>1447</v>
      </c>
      <c r="F913" t="s">
        <v>2087</v>
      </c>
      <c r="G913" t="s">
        <v>1811</v>
      </c>
      <c r="H913" t="s">
        <v>1799</v>
      </c>
      <c r="I913">
        <v>3</v>
      </c>
      <c r="J913" t="s">
        <v>1799</v>
      </c>
      <c r="K913" t="s">
        <v>1799</v>
      </c>
      <c r="L913" t="s">
        <v>1799</v>
      </c>
      <c r="M913" t="s">
        <v>1799</v>
      </c>
      <c r="N913" t="s">
        <v>1799</v>
      </c>
      <c r="O913" s="184" t="str">
        <f>"["&amp;$C913&amp;"]["&amp;$D913&amp;"]["&amp;$F913&amp;"]"</f>
        <v>[S05_DefaultValues][20][InstallationNumber]</v>
      </c>
    </row>
    <row r="914" spans="1:15" x14ac:dyDescent="0.3">
      <c r="A914" t="s">
        <v>1793</v>
      </c>
      <c r="B914" t="s">
        <v>1950</v>
      </c>
      <c r="C914" t="s">
        <v>1959</v>
      </c>
      <c r="D914">
        <v>21</v>
      </c>
      <c r="E914" t="s">
        <v>1447</v>
      </c>
      <c r="F914" t="s">
        <v>2087</v>
      </c>
      <c r="G914" t="s">
        <v>1811</v>
      </c>
      <c r="H914" t="s">
        <v>1799</v>
      </c>
      <c r="I914">
        <v>7</v>
      </c>
      <c r="J914" t="s">
        <v>1799</v>
      </c>
      <c r="K914" t="s">
        <v>1799</v>
      </c>
      <c r="L914" t="s">
        <v>1799</v>
      </c>
      <c r="M914" t="s">
        <v>1799</v>
      </c>
      <c r="N914" t="s">
        <v>1799</v>
      </c>
      <c r="O914" s="184" t="str">
        <f>"["&amp;$C914&amp;"]["&amp;$D914&amp;"]["&amp;$F914&amp;"]"</f>
        <v>[S05_DefaultValues][21][InstallationNumber]</v>
      </c>
    </row>
    <row r="915" spans="1:15" x14ac:dyDescent="0.3">
      <c r="A915" t="s">
        <v>1793</v>
      </c>
      <c r="B915" t="s">
        <v>1950</v>
      </c>
      <c r="C915" t="s">
        <v>1959</v>
      </c>
      <c r="D915">
        <v>22</v>
      </c>
      <c r="E915" t="s">
        <v>1447</v>
      </c>
      <c r="F915" t="s">
        <v>2087</v>
      </c>
      <c r="G915" t="s">
        <v>1811</v>
      </c>
      <c r="H915" t="s">
        <v>1799</v>
      </c>
      <c r="I915">
        <v>481</v>
      </c>
      <c r="J915" t="s">
        <v>1799</v>
      </c>
      <c r="K915" t="s">
        <v>1799</v>
      </c>
      <c r="L915" t="s">
        <v>1799</v>
      </c>
      <c r="M915" t="s">
        <v>1799</v>
      </c>
      <c r="N915" t="s">
        <v>1799</v>
      </c>
      <c r="O915" s="184" t="str">
        <f>"["&amp;$C915&amp;"]["&amp;$D915&amp;"]["&amp;$F915&amp;"]"</f>
        <v>[S05_DefaultValues][22][InstallationNumber]</v>
      </c>
    </row>
    <row r="916" spans="1:15" x14ac:dyDescent="0.3">
      <c r="A916" t="s">
        <v>1793</v>
      </c>
      <c r="B916" t="s">
        <v>1950</v>
      </c>
      <c r="C916" t="s">
        <v>1959</v>
      </c>
      <c r="D916">
        <v>23</v>
      </c>
      <c r="E916" t="s">
        <v>1447</v>
      </c>
      <c r="F916" t="s">
        <v>2087</v>
      </c>
      <c r="G916" t="s">
        <v>1811</v>
      </c>
      <c r="H916" t="s">
        <v>1799</v>
      </c>
      <c r="I916">
        <v>123</v>
      </c>
      <c r="J916" t="s">
        <v>1799</v>
      </c>
      <c r="K916" t="s">
        <v>1799</v>
      </c>
      <c r="L916" t="s">
        <v>1799</v>
      </c>
      <c r="M916" t="s">
        <v>1799</v>
      </c>
      <c r="N916" t="s">
        <v>1799</v>
      </c>
      <c r="O916" s="184" t="str">
        <f>"["&amp;$C916&amp;"]["&amp;$D916&amp;"]["&amp;$F916&amp;"]"</f>
        <v>[S05_DefaultValues][23][InstallationNumber]</v>
      </c>
    </row>
    <row r="917" spans="1:15" x14ac:dyDescent="0.3">
      <c r="A917" t="s">
        <v>1793</v>
      </c>
      <c r="B917" t="s">
        <v>1950</v>
      </c>
      <c r="C917" t="s">
        <v>1959</v>
      </c>
      <c r="D917">
        <v>24</v>
      </c>
      <c r="E917" t="s">
        <v>1447</v>
      </c>
      <c r="F917" t="s">
        <v>2087</v>
      </c>
      <c r="G917" t="s">
        <v>1811</v>
      </c>
      <c r="H917" t="s">
        <v>1799</v>
      </c>
      <c r="I917">
        <v>2</v>
      </c>
      <c r="J917" t="s">
        <v>1799</v>
      </c>
      <c r="K917" t="s">
        <v>1799</v>
      </c>
      <c r="L917" t="s">
        <v>1799</v>
      </c>
      <c r="M917" t="s">
        <v>1799</v>
      </c>
      <c r="N917" t="s">
        <v>1799</v>
      </c>
      <c r="O917" s="184" t="str">
        <f>"["&amp;$C917&amp;"]["&amp;$D917&amp;"]["&amp;$F917&amp;"]"</f>
        <v>[S05_DefaultValues][24][InstallationNumber]</v>
      </c>
    </row>
    <row r="918" spans="1:15" x14ac:dyDescent="0.3">
      <c r="A918" t="s">
        <v>1793</v>
      </c>
      <c r="B918" t="s">
        <v>1950</v>
      </c>
      <c r="C918" t="s">
        <v>1959</v>
      </c>
      <c r="D918">
        <v>25</v>
      </c>
      <c r="E918" t="s">
        <v>1447</v>
      </c>
      <c r="F918" t="s">
        <v>2087</v>
      </c>
      <c r="G918" t="s">
        <v>1811</v>
      </c>
      <c r="H918" t="s">
        <v>1799</v>
      </c>
      <c r="I918">
        <v>1</v>
      </c>
      <c r="J918" t="s">
        <v>1799</v>
      </c>
      <c r="K918" t="s">
        <v>1799</v>
      </c>
      <c r="L918" t="s">
        <v>1799</v>
      </c>
      <c r="M918" t="s">
        <v>1799</v>
      </c>
      <c r="N918" t="s">
        <v>1799</v>
      </c>
      <c r="O918" s="184" t="str">
        <f>"["&amp;$C918&amp;"]["&amp;$D918&amp;"]["&amp;$F918&amp;"]"</f>
        <v>[S05_DefaultValues][25][InstallationNumber]</v>
      </c>
    </row>
    <row r="919" spans="1:15" x14ac:dyDescent="0.3">
      <c r="A919" t="s">
        <v>1793</v>
      </c>
      <c r="B919" t="s">
        <v>1950</v>
      </c>
      <c r="C919" t="s">
        <v>1959</v>
      </c>
      <c r="D919">
        <v>26</v>
      </c>
      <c r="E919" t="s">
        <v>1447</v>
      </c>
      <c r="F919" t="s">
        <v>2087</v>
      </c>
      <c r="G919" t="s">
        <v>1811</v>
      </c>
      <c r="H919" t="s">
        <v>1799</v>
      </c>
      <c r="I919">
        <v>26</v>
      </c>
      <c r="J919" t="s">
        <v>1799</v>
      </c>
      <c r="K919" t="s">
        <v>1799</v>
      </c>
      <c r="L919" t="s">
        <v>1799</v>
      </c>
      <c r="M919" t="s">
        <v>1799</v>
      </c>
      <c r="N919" t="s">
        <v>1799</v>
      </c>
      <c r="O919" s="184" t="str">
        <f>"["&amp;$C919&amp;"]["&amp;$D919&amp;"]["&amp;$F919&amp;"]"</f>
        <v>[S05_DefaultValues][26][InstallationNumber]</v>
      </c>
    </row>
    <row r="920" spans="1:15" x14ac:dyDescent="0.3">
      <c r="A920" t="s">
        <v>1793</v>
      </c>
      <c r="B920" t="s">
        <v>1950</v>
      </c>
      <c r="C920" t="s">
        <v>1959</v>
      </c>
      <c r="D920">
        <v>27</v>
      </c>
      <c r="E920" t="s">
        <v>1447</v>
      </c>
      <c r="F920" t="s">
        <v>2087</v>
      </c>
      <c r="G920" t="s">
        <v>1811</v>
      </c>
      <c r="H920" t="s">
        <v>1799</v>
      </c>
      <c r="I920">
        <v>4</v>
      </c>
      <c r="J920" t="s">
        <v>1799</v>
      </c>
      <c r="K920" t="s">
        <v>1799</v>
      </c>
      <c r="L920" t="s">
        <v>1799</v>
      </c>
      <c r="M920" t="s">
        <v>1799</v>
      </c>
      <c r="N920" t="s">
        <v>1799</v>
      </c>
      <c r="O920" s="184" t="str">
        <f>"["&amp;$C920&amp;"]["&amp;$D920&amp;"]["&amp;$F920&amp;"]"</f>
        <v>[S05_DefaultValues][27][InstallationNumber]</v>
      </c>
    </row>
    <row r="921" spans="1:15" x14ac:dyDescent="0.3">
      <c r="A921" t="s">
        <v>1793</v>
      </c>
      <c r="B921" t="s">
        <v>1950</v>
      </c>
      <c r="C921" t="s">
        <v>1959</v>
      </c>
      <c r="D921">
        <v>28</v>
      </c>
      <c r="E921" t="s">
        <v>1447</v>
      </c>
      <c r="F921" t="s">
        <v>2087</v>
      </c>
      <c r="G921" t="s">
        <v>1811</v>
      </c>
      <c r="H921" t="s">
        <v>1799</v>
      </c>
      <c r="I921">
        <v>12</v>
      </c>
      <c r="J921" t="s">
        <v>1799</v>
      </c>
      <c r="K921" t="s">
        <v>1799</v>
      </c>
      <c r="L921" t="s">
        <v>1799</v>
      </c>
      <c r="M921" t="s">
        <v>1799</v>
      </c>
      <c r="N921" t="s">
        <v>1799</v>
      </c>
      <c r="O921" s="184" t="str">
        <f>"["&amp;$C921&amp;"]["&amp;$D921&amp;"]["&amp;$F921&amp;"]"</f>
        <v>[S05_DefaultValues][28][InstallationNumber]</v>
      </c>
    </row>
    <row r="922" spans="1:15" x14ac:dyDescent="0.3">
      <c r="A922" t="s">
        <v>1793</v>
      </c>
      <c r="B922" t="s">
        <v>1950</v>
      </c>
      <c r="C922" t="s">
        <v>1959</v>
      </c>
      <c r="D922">
        <v>29</v>
      </c>
      <c r="E922" t="s">
        <v>1447</v>
      </c>
      <c r="F922" t="s">
        <v>2087</v>
      </c>
      <c r="G922" t="s">
        <v>1811</v>
      </c>
      <c r="H922" t="s">
        <v>1799</v>
      </c>
      <c r="I922">
        <v>11</v>
      </c>
      <c r="J922" t="s">
        <v>1799</v>
      </c>
      <c r="K922" t="s">
        <v>1799</v>
      </c>
      <c r="L922" t="s">
        <v>1799</v>
      </c>
      <c r="M922" t="s">
        <v>1799</v>
      </c>
      <c r="N922" t="s">
        <v>1799</v>
      </c>
      <c r="O922" s="184" t="str">
        <f>"["&amp;$C922&amp;"]["&amp;$D922&amp;"]["&amp;$F922&amp;"]"</f>
        <v>[S05_DefaultValues][29][InstallationNumber]</v>
      </c>
    </row>
    <row r="923" spans="1:15" x14ac:dyDescent="0.3">
      <c r="A923" t="s">
        <v>1793</v>
      </c>
      <c r="B923" t="s">
        <v>1950</v>
      </c>
      <c r="C923" t="s">
        <v>1959</v>
      </c>
      <c r="D923">
        <v>30</v>
      </c>
      <c r="E923" t="s">
        <v>1447</v>
      </c>
      <c r="F923" t="s">
        <v>2087</v>
      </c>
      <c r="G923" t="s">
        <v>1811</v>
      </c>
      <c r="H923" t="s">
        <v>1799</v>
      </c>
      <c r="I923">
        <v>4</v>
      </c>
      <c r="J923" t="s">
        <v>1799</v>
      </c>
      <c r="K923" t="s">
        <v>1799</v>
      </c>
      <c r="L923" t="s">
        <v>1799</v>
      </c>
      <c r="M923" t="s">
        <v>1799</v>
      </c>
      <c r="N923" t="s">
        <v>1799</v>
      </c>
      <c r="O923" s="184" t="str">
        <f>"["&amp;$C923&amp;"]["&amp;$D923&amp;"]["&amp;$F923&amp;"]"</f>
        <v>[S05_DefaultValues][30][InstallationNumber]</v>
      </c>
    </row>
    <row r="924" spans="1:15" x14ac:dyDescent="0.3">
      <c r="A924" t="s">
        <v>1793</v>
      </c>
      <c r="B924" t="s">
        <v>1950</v>
      </c>
      <c r="C924" t="s">
        <v>1959</v>
      </c>
      <c r="D924">
        <v>31</v>
      </c>
      <c r="E924" t="s">
        <v>1447</v>
      </c>
      <c r="F924" t="s">
        <v>2087</v>
      </c>
      <c r="G924" t="s">
        <v>1811</v>
      </c>
      <c r="H924" t="s">
        <v>1799</v>
      </c>
      <c r="I924">
        <v>9</v>
      </c>
      <c r="J924" t="s">
        <v>1799</v>
      </c>
      <c r="K924" t="s">
        <v>1799</v>
      </c>
      <c r="L924" t="s">
        <v>1799</v>
      </c>
      <c r="M924" t="s">
        <v>1799</v>
      </c>
      <c r="N924" t="s">
        <v>1799</v>
      </c>
      <c r="O924" s="184" t="str">
        <f>"["&amp;$C924&amp;"]["&amp;$D924&amp;"]["&amp;$F924&amp;"]"</f>
        <v>[S05_DefaultValues][31][InstallationNumber]</v>
      </c>
    </row>
    <row r="925" spans="1:15" x14ac:dyDescent="0.3">
      <c r="A925" t="s">
        <v>1793</v>
      </c>
      <c r="B925" t="s">
        <v>1950</v>
      </c>
      <c r="C925" t="s">
        <v>1959</v>
      </c>
      <c r="D925">
        <v>32</v>
      </c>
      <c r="E925" t="s">
        <v>1447</v>
      </c>
      <c r="F925" t="s">
        <v>2087</v>
      </c>
      <c r="G925" t="s">
        <v>1811</v>
      </c>
      <c r="H925" t="s">
        <v>1799</v>
      </c>
      <c r="I925">
        <v>4</v>
      </c>
      <c r="J925" t="s">
        <v>1799</v>
      </c>
      <c r="K925" t="s">
        <v>1799</v>
      </c>
      <c r="L925" t="s">
        <v>1799</v>
      </c>
      <c r="M925" t="s">
        <v>1799</v>
      </c>
      <c r="N925" t="s">
        <v>1799</v>
      </c>
      <c r="O925" s="184" t="str">
        <f>"["&amp;$C925&amp;"]["&amp;$D925&amp;"]["&amp;$F925&amp;"]"</f>
        <v>[S05_DefaultValues][32][InstallationNumber]</v>
      </c>
    </row>
    <row r="926" spans="1:15" x14ac:dyDescent="0.3">
      <c r="A926" t="s">
        <v>1793</v>
      </c>
      <c r="B926" t="s">
        <v>1950</v>
      </c>
      <c r="C926" t="s">
        <v>1959</v>
      </c>
      <c r="D926">
        <v>33</v>
      </c>
      <c r="E926" t="s">
        <v>1447</v>
      </c>
      <c r="F926" t="s">
        <v>2087</v>
      </c>
      <c r="G926" t="s">
        <v>1811</v>
      </c>
      <c r="H926" t="s">
        <v>1799</v>
      </c>
      <c r="I926">
        <v>2</v>
      </c>
      <c r="J926" t="s">
        <v>1799</v>
      </c>
      <c r="K926" t="s">
        <v>1799</v>
      </c>
      <c r="L926" t="s">
        <v>1799</v>
      </c>
      <c r="M926" t="s">
        <v>1799</v>
      </c>
      <c r="N926" t="s">
        <v>1799</v>
      </c>
      <c r="O926" s="184" t="str">
        <f>"["&amp;$C926&amp;"]["&amp;$D926&amp;"]["&amp;$F926&amp;"]"</f>
        <v>[S05_DefaultValues][33][InstallationNumber]</v>
      </c>
    </row>
    <row r="927" spans="1:15" x14ac:dyDescent="0.3">
      <c r="A927" t="s">
        <v>1793</v>
      </c>
      <c r="B927" t="s">
        <v>1950</v>
      </c>
      <c r="C927" t="s">
        <v>1959</v>
      </c>
      <c r="D927">
        <v>34</v>
      </c>
      <c r="E927" t="s">
        <v>1447</v>
      </c>
      <c r="F927" t="s">
        <v>2087</v>
      </c>
      <c r="G927" t="s">
        <v>1811</v>
      </c>
      <c r="H927" t="s">
        <v>1799</v>
      </c>
      <c r="I927">
        <v>5</v>
      </c>
      <c r="J927" t="s">
        <v>1799</v>
      </c>
      <c r="K927" t="s">
        <v>1799</v>
      </c>
      <c r="L927" t="s">
        <v>1799</v>
      </c>
      <c r="M927" t="s">
        <v>1799</v>
      </c>
      <c r="N927" t="s">
        <v>1799</v>
      </c>
      <c r="O927" s="184" t="str">
        <f>"["&amp;$C927&amp;"]["&amp;$D927&amp;"]["&amp;$F927&amp;"]"</f>
        <v>[S05_DefaultValues][34][InstallationNumber]</v>
      </c>
    </row>
    <row r="928" spans="1:15" x14ac:dyDescent="0.3">
      <c r="A928" t="s">
        <v>1793</v>
      </c>
      <c r="B928" t="s">
        <v>1950</v>
      </c>
      <c r="C928" t="s">
        <v>1959</v>
      </c>
      <c r="D928">
        <v>35</v>
      </c>
      <c r="E928" t="s">
        <v>1447</v>
      </c>
      <c r="F928" t="s">
        <v>2087</v>
      </c>
      <c r="G928" t="s">
        <v>1811</v>
      </c>
      <c r="H928" t="s">
        <v>1799</v>
      </c>
      <c r="I928">
        <v>2</v>
      </c>
      <c r="J928" t="s">
        <v>1799</v>
      </c>
      <c r="K928" t="s">
        <v>1799</v>
      </c>
      <c r="L928" t="s">
        <v>1799</v>
      </c>
      <c r="M928" t="s">
        <v>1799</v>
      </c>
      <c r="N928" t="s">
        <v>1799</v>
      </c>
      <c r="O928" s="184" t="str">
        <f>"["&amp;$C928&amp;"]["&amp;$D928&amp;"]["&amp;$F928&amp;"]"</f>
        <v>[S05_DefaultValues][35][InstallationNumber]</v>
      </c>
    </row>
    <row r="929" spans="1:15" x14ac:dyDescent="0.3">
      <c r="A929" t="s">
        <v>1793</v>
      </c>
      <c r="B929" t="s">
        <v>1950</v>
      </c>
      <c r="C929" t="s">
        <v>1959</v>
      </c>
      <c r="D929">
        <v>36</v>
      </c>
      <c r="E929" t="s">
        <v>1447</v>
      </c>
      <c r="F929" t="s">
        <v>2087</v>
      </c>
      <c r="G929" t="s">
        <v>1811</v>
      </c>
      <c r="H929" t="s">
        <v>1799</v>
      </c>
      <c r="I929">
        <v>1</v>
      </c>
      <c r="J929" t="s">
        <v>1799</v>
      </c>
      <c r="K929" t="s">
        <v>1799</v>
      </c>
      <c r="L929" t="s">
        <v>1799</v>
      </c>
      <c r="M929" t="s">
        <v>1799</v>
      </c>
      <c r="N929" t="s">
        <v>1799</v>
      </c>
      <c r="O929" s="184" t="str">
        <f>"["&amp;$C929&amp;"]["&amp;$D929&amp;"]["&amp;$F929&amp;"]"</f>
        <v>[S05_DefaultValues][36][InstallationNumber]</v>
      </c>
    </row>
    <row r="930" spans="1:15" x14ac:dyDescent="0.3">
      <c r="A930" t="s">
        <v>1793</v>
      </c>
      <c r="B930" t="s">
        <v>1950</v>
      </c>
      <c r="C930" t="s">
        <v>1959</v>
      </c>
      <c r="D930">
        <v>37</v>
      </c>
      <c r="E930" t="s">
        <v>1447</v>
      </c>
      <c r="F930" t="s">
        <v>2087</v>
      </c>
      <c r="G930" t="s">
        <v>1811</v>
      </c>
      <c r="H930" t="s">
        <v>1799</v>
      </c>
      <c r="I930">
        <v>1</v>
      </c>
      <c r="J930" t="s">
        <v>1799</v>
      </c>
      <c r="K930" t="s">
        <v>1799</v>
      </c>
      <c r="L930" t="s">
        <v>1799</v>
      </c>
      <c r="M930" t="s">
        <v>1799</v>
      </c>
      <c r="N930" t="s">
        <v>1799</v>
      </c>
      <c r="O930" s="184" t="str">
        <f>"["&amp;$C930&amp;"]["&amp;$D930&amp;"]["&amp;$F930&amp;"]"</f>
        <v>[S05_DefaultValues][37][InstallationNumber]</v>
      </c>
    </row>
    <row r="931" spans="1:15" x14ac:dyDescent="0.3">
      <c r="A931" t="s">
        <v>1793</v>
      </c>
      <c r="B931" t="s">
        <v>1950</v>
      </c>
      <c r="C931" t="s">
        <v>1959</v>
      </c>
      <c r="D931">
        <v>38</v>
      </c>
      <c r="E931" t="s">
        <v>1447</v>
      </c>
      <c r="F931" t="s">
        <v>2087</v>
      </c>
      <c r="G931" t="s">
        <v>1811</v>
      </c>
      <c r="H931" t="s">
        <v>1799</v>
      </c>
      <c r="I931">
        <v>14</v>
      </c>
      <c r="J931" t="s">
        <v>1799</v>
      </c>
      <c r="K931" t="s">
        <v>1799</v>
      </c>
      <c r="L931" t="s">
        <v>1799</v>
      </c>
      <c r="M931" t="s">
        <v>1799</v>
      </c>
      <c r="N931" t="s">
        <v>1799</v>
      </c>
      <c r="O931" s="184" t="str">
        <f>"["&amp;$C931&amp;"]["&amp;$D931&amp;"]["&amp;$F931&amp;"]"</f>
        <v>[S05_DefaultValues][38][InstallationNumber]</v>
      </c>
    </row>
    <row r="932" spans="1:15" x14ac:dyDescent="0.3">
      <c r="A932" t="s">
        <v>1793</v>
      </c>
      <c r="B932" t="s">
        <v>1950</v>
      </c>
      <c r="C932" t="s">
        <v>1959</v>
      </c>
      <c r="D932">
        <v>39</v>
      </c>
      <c r="E932" t="s">
        <v>1447</v>
      </c>
      <c r="F932" t="s">
        <v>2087</v>
      </c>
      <c r="G932" t="s">
        <v>1811</v>
      </c>
      <c r="H932" t="s">
        <v>1799</v>
      </c>
      <c r="I932">
        <v>8</v>
      </c>
      <c r="J932" t="s">
        <v>1799</v>
      </c>
      <c r="K932" t="s">
        <v>1799</v>
      </c>
      <c r="L932" t="s">
        <v>1799</v>
      </c>
      <c r="M932" t="s">
        <v>1799</v>
      </c>
      <c r="N932" t="s">
        <v>1799</v>
      </c>
      <c r="O932" s="184" t="str">
        <f>"["&amp;$C932&amp;"]["&amp;$D932&amp;"]["&amp;$F932&amp;"]"</f>
        <v>[S05_DefaultValues][39][InstallationNumber]</v>
      </c>
    </row>
    <row r="933" spans="1:15" x14ac:dyDescent="0.3">
      <c r="A933" t="s">
        <v>1793</v>
      </c>
      <c r="B933" t="s">
        <v>1950</v>
      </c>
      <c r="C933" t="s">
        <v>1959</v>
      </c>
      <c r="D933">
        <v>40</v>
      </c>
      <c r="E933" t="s">
        <v>1447</v>
      </c>
      <c r="F933" t="s">
        <v>2087</v>
      </c>
      <c r="G933" t="s">
        <v>1811</v>
      </c>
      <c r="H933" t="s">
        <v>1799</v>
      </c>
      <c r="I933">
        <v>3</v>
      </c>
      <c r="J933" t="s">
        <v>1799</v>
      </c>
      <c r="K933" t="s">
        <v>1799</v>
      </c>
      <c r="L933" t="s">
        <v>1799</v>
      </c>
      <c r="M933" t="s">
        <v>1799</v>
      </c>
      <c r="N933" t="s">
        <v>1799</v>
      </c>
      <c r="O933" s="184" t="str">
        <f>"["&amp;$C933&amp;"]["&amp;$D933&amp;"]["&amp;$F933&amp;"]"</f>
        <v>[S05_DefaultValues][40][InstallationNumber]</v>
      </c>
    </row>
    <row r="934" spans="1:15" x14ac:dyDescent="0.3">
      <c r="A934" t="s">
        <v>1793</v>
      </c>
      <c r="B934" t="s">
        <v>1950</v>
      </c>
      <c r="C934" t="s">
        <v>1959</v>
      </c>
      <c r="D934">
        <v>41</v>
      </c>
      <c r="E934" t="s">
        <v>1447</v>
      </c>
      <c r="F934" t="s">
        <v>2087</v>
      </c>
      <c r="G934" t="s">
        <v>1811</v>
      </c>
      <c r="H934" t="s">
        <v>1799</v>
      </c>
      <c r="I934">
        <v>31</v>
      </c>
      <c r="J934" t="s">
        <v>1799</v>
      </c>
      <c r="K934" t="s">
        <v>1799</v>
      </c>
      <c r="L934" t="s">
        <v>1799</v>
      </c>
      <c r="M934" t="s">
        <v>1799</v>
      </c>
      <c r="N934" t="s">
        <v>1799</v>
      </c>
      <c r="O934" s="184" t="str">
        <f>"["&amp;$C934&amp;"]["&amp;$D934&amp;"]["&amp;$F934&amp;"]"</f>
        <v>[S05_DefaultValues][41][InstallationNumber]</v>
      </c>
    </row>
    <row r="935" spans="1:15" x14ac:dyDescent="0.3">
      <c r="A935" t="s">
        <v>1793</v>
      </c>
      <c r="B935" t="s">
        <v>1950</v>
      </c>
      <c r="C935" t="s">
        <v>1959</v>
      </c>
      <c r="D935">
        <v>42</v>
      </c>
      <c r="E935" t="s">
        <v>1447</v>
      </c>
      <c r="F935" t="s">
        <v>2087</v>
      </c>
      <c r="G935" t="s">
        <v>1811</v>
      </c>
      <c r="H935" t="s">
        <v>1799</v>
      </c>
      <c r="I935">
        <v>1</v>
      </c>
      <c r="J935" t="s">
        <v>1799</v>
      </c>
      <c r="K935" t="s">
        <v>1799</v>
      </c>
      <c r="L935" t="s">
        <v>1799</v>
      </c>
      <c r="M935" t="s">
        <v>1799</v>
      </c>
      <c r="N935" t="s">
        <v>1799</v>
      </c>
      <c r="O935" s="184" t="str">
        <f>"["&amp;$C935&amp;"]["&amp;$D935&amp;"]["&amp;$F935&amp;"]"</f>
        <v>[S05_DefaultValues][42][InstallationNumber]</v>
      </c>
    </row>
    <row r="936" spans="1:15" x14ac:dyDescent="0.3">
      <c r="A936" t="s">
        <v>1793</v>
      </c>
      <c r="B936" t="s">
        <v>1950</v>
      </c>
      <c r="C936" t="s">
        <v>1959</v>
      </c>
      <c r="D936">
        <v>43</v>
      </c>
      <c r="E936" t="s">
        <v>1447</v>
      </c>
      <c r="F936" t="s">
        <v>2087</v>
      </c>
      <c r="G936" t="s">
        <v>1811</v>
      </c>
      <c r="H936" t="s">
        <v>1799</v>
      </c>
      <c r="I936">
        <v>16</v>
      </c>
      <c r="J936" t="s">
        <v>1799</v>
      </c>
      <c r="K936" t="s">
        <v>1799</v>
      </c>
      <c r="L936" t="s">
        <v>1799</v>
      </c>
      <c r="M936" t="s">
        <v>1799</v>
      </c>
      <c r="N936" t="s">
        <v>1799</v>
      </c>
      <c r="O936" s="184" t="str">
        <f>"["&amp;$C936&amp;"]["&amp;$D936&amp;"]["&amp;$F936&amp;"]"</f>
        <v>[S05_DefaultValues][43][InstallationNumber]</v>
      </c>
    </row>
    <row r="937" spans="1:15" x14ac:dyDescent="0.3">
      <c r="A937" t="s">
        <v>1793</v>
      </c>
      <c r="B937" t="s">
        <v>1950</v>
      </c>
      <c r="C937" t="s">
        <v>1959</v>
      </c>
      <c r="D937">
        <v>44</v>
      </c>
      <c r="E937" t="s">
        <v>1447</v>
      </c>
      <c r="F937" t="s">
        <v>2087</v>
      </c>
      <c r="G937" t="s">
        <v>1811</v>
      </c>
      <c r="H937" t="s">
        <v>1799</v>
      </c>
      <c r="I937">
        <v>1</v>
      </c>
      <c r="J937" t="s">
        <v>1799</v>
      </c>
      <c r="K937" t="s">
        <v>1799</v>
      </c>
      <c r="L937" t="s">
        <v>1799</v>
      </c>
      <c r="M937" t="s">
        <v>1799</v>
      </c>
      <c r="N937" t="s">
        <v>1799</v>
      </c>
      <c r="O937" s="184" t="str">
        <f>"["&amp;$C937&amp;"]["&amp;$D937&amp;"]["&amp;$F937&amp;"]"</f>
        <v>[S05_DefaultValues][44][InstallationNumber]</v>
      </c>
    </row>
    <row r="938" spans="1:15" x14ac:dyDescent="0.3">
      <c r="A938" t="s">
        <v>1793</v>
      </c>
      <c r="B938" t="s">
        <v>1950</v>
      </c>
      <c r="C938" t="s">
        <v>1959</v>
      </c>
      <c r="D938">
        <v>45</v>
      </c>
      <c r="E938" t="s">
        <v>1447</v>
      </c>
      <c r="F938" t="s">
        <v>2087</v>
      </c>
      <c r="G938" t="s">
        <v>1811</v>
      </c>
      <c r="H938" t="s">
        <v>1799</v>
      </c>
      <c r="I938">
        <v>349</v>
      </c>
      <c r="J938" t="s">
        <v>1799</v>
      </c>
      <c r="K938" t="s">
        <v>1799</v>
      </c>
      <c r="L938" t="s">
        <v>1799</v>
      </c>
      <c r="M938" t="s">
        <v>1799</v>
      </c>
      <c r="N938" t="s">
        <v>1799</v>
      </c>
      <c r="O938" s="184" t="str">
        <f>"["&amp;$C938&amp;"]["&amp;$D938&amp;"]["&amp;$F938&amp;"]"</f>
        <v>[S05_DefaultValues][45][InstallationNumber]</v>
      </c>
    </row>
    <row r="939" spans="1:15" x14ac:dyDescent="0.3">
      <c r="A939" t="s">
        <v>1793</v>
      </c>
      <c r="B939" t="s">
        <v>1950</v>
      </c>
      <c r="C939" t="s">
        <v>1959</v>
      </c>
      <c r="D939">
        <v>46</v>
      </c>
      <c r="E939" t="s">
        <v>1447</v>
      </c>
      <c r="F939" t="s">
        <v>2087</v>
      </c>
      <c r="G939" t="s">
        <v>1811</v>
      </c>
      <c r="H939" t="s">
        <v>1799</v>
      </c>
      <c r="I939">
        <v>10</v>
      </c>
      <c r="J939" t="s">
        <v>1799</v>
      </c>
      <c r="K939" t="s">
        <v>1799</v>
      </c>
      <c r="L939" t="s">
        <v>1799</v>
      </c>
      <c r="M939" t="s">
        <v>1799</v>
      </c>
      <c r="N939" t="s">
        <v>1799</v>
      </c>
      <c r="O939" s="184" t="str">
        <f>"["&amp;$C939&amp;"]["&amp;$D939&amp;"]["&amp;$F939&amp;"]"</f>
        <v>[S05_DefaultValues][46][InstallationNumber]</v>
      </c>
    </row>
    <row r="940" spans="1:15" x14ac:dyDescent="0.3">
      <c r="A940" t="s">
        <v>1793</v>
      </c>
      <c r="B940" t="s">
        <v>1950</v>
      </c>
      <c r="C940" t="s">
        <v>1959</v>
      </c>
      <c r="D940">
        <v>47</v>
      </c>
      <c r="E940" t="s">
        <v>1447</v>
      </c>
      <c r="F940" t="s">
        <v>2087</v>
      </c>
      <c r="G940" t="s">
        <v>1811</v>
      </c>
      <c r="H940" t="s">
        <v>1799</v>
      </c>
      <c r="I940">
        <v>2</v>
      </c>
      <c r="J940" t="s">
        <v>1799</v>
      </c>
      <c r="K940" t="s">
        <v>1799</v>
      </c>
      <c r="L940" t="s">
        <v>1799</v>
      </c>
      <c r="M940" t="s">
        <v>1799</v>
      </c>
      <c r="N940" t="s">
        <v>1799</v>
      </c>
      <c r="O940" s="184" t="str">
        <f>"["&amp;$C940&amp;"]["&amp;$D940&amp;"]["&amp;$F940&amp;"]"</f>
        <v>[S05_DefaultValues][47][InstallationNumber]</v>
      </c>
    </row>
    <row r="941" spans="1:15" x14ac:dyDescent="0.3">
      <c r="A941" t="s">
        <v>1793</v>
      </c>
      <c r="B941" t="s">
        <v>1950</v>
      </c>
      <c r="C941" t="s">
        <v>1959</v>
      </c>
      <c r="D941">
        <v>48</v>
      </c>
      <c r="E941" t="s">
        <v>1447</v>
      </c>
      <c r="F941" t="s">
        <v>2087</v>
      </c>
      <c r="G941" t="s">
        <v>1811</v>
      </c>
      <c r="H941" t="s">
        <v>1799</v>
      </c>
      <c r="I941">
        <v>8</v>
      </c>
      <c r="J941" t="s">
        <v>1799</v>
      </c>
      <c r="K941" t="s">
        <v>1799</v>
      </c>
      <c r="L941" t="s">
        <v>1799</v>
      </c>
      <c r="M941" t="s">
        <v>1799</v>
      </c>
      <c r="N941" t="s">
        <v>1799</v>
      </c>
      <c r="O941" s="184" t="str">
        <f>"["&amp;$C941&amp;"]["&amp;$D941&amp;"]["&amp;$F941&amp;"]"</f>
        <v>[S05_DefaultValues][48][InstallationNumber]</v>
      </c>
    </row>
    <row r="942" spans="1:15" x14ac:dyDescent="0.3">
      <c r="A942" t="s">
        <v>1793</v>
      </c>
      <c r="B942" t="s">
        <v>1950</v>
      </c>
      <c r="C942" t="s">
        <v>1959</v>
      </c>
      <c r="D942">
        <v>49</v>
      </c>
      <c r="E942" t="s">
        <v>1447</v>
      </c>
      <c r="F942" t="s">
        <v>2087</v>
      </c>
      <c r="G942" t="s">
        <v>1811</v>
      </c>
      <c r="H942" t="s">
        <v>1799</v>
      </c>
      <c r="I942">
        <v>12</v>
      </c>
      <c r="J942" t="s">
        <v>1799</v>
      </c>
      <c r="K942" t="s">
        <v>1799</v>
      </c>
      <c r="L942" t="s">
        <v>1799</v>
      </c>
      <c r="M942" t="s">
        <v>1799</v>
      </c>
      <c r="N942" t="s">
        <v>1799</v>
      </c>
      <c r="O942" s="184" t="str">
        <f>"["&amp;$C942&amp;"]["&amp;$D942&amp;"]["&amp;$F942&amp;"]"</f>
        <v>[S05_DefaultValues][49][InstallationNumber]</v>
      </c>
    </row>
    <row r="943" spans="1:15" x14ac:dyDescent="0.3">
      <c r="A943" t="s">
        <v>1793</v>
      </c>
      <c r="B943" t="s">
        <v>1950</v>
      </c>
      <c r="C943" t="s">
        <v>1959</v>
      </c>
      <c r="D943">
        <v>50</v>
      </c>
      <c r="E943" t="s">
        <v>1447</v>
      </c>
      <c r="F943" t="s">
        <v>2087</v>
      </c>
      <c r="G943" t="s">
        <v>1811</v>
      </c>
      <c r="H943" t="s">
        <v>1799</v>
      </c>
      <c r="I943">
        <v>3</v>
      </c>
      <c r="J943" t="s">
        <v>1799</v>
      </c>
      <c r="K943" t="s">
        <v>1799</v>
      </c>
      <c r="L943" t="s">
        <v>1799</v>
      </c>
      <c r="M943" t="s">
        <v>1799</v>
      </c>
      <c r="N943" t="s">
        <v>1799</v>
      </c>
      <c r="O943" s="184" t="str">
        <f>"["&amp;$C943&amp;"]["&amp;$D943&amp;"]["&amp;$F943&amp;"]"</f>
        <v>[S05_DefaultValues][50][InstallationNumber]</v>
      </c>
    </row>
    <row r="944" spans="1:15" x14ac:dyDescent="0.3">
      <c r="A944" t="s">
        <v>1793</v>
      </c>
      <c r="B944" t="s">
        <v>1950</v>
      </c>
      <c r="C944" t="s">
        <v>1959</v>
      </c>
      <c r="D944">
        <v>51</v>
      </c>
      <c r="E944" t="s">
        <v>1447</v>
      </c>
      <c r="F944" t="s">
        <v>2087</v>
      </c>
      <c r="G944" t="s">
        <v>1811</v>
      </c>
      <c r="H944" t="s">
        <v>1799</v>
      </c>
      <c r="I944">
        <v>1</v>
      </c>
      <c r="J944" t="s">
        <v>1799</v>
      </c>
      <c r="K944" t="s">
        <v>1799</v>
      </c>
      <c r="L944" t="s">
        <v>1799</v>
      </c>
      <c r="M944" t="s">
        <v>1799</v>
      </c>
      <c r="N944" t="s">
        <v>1799</v>
      </c>
      <c r="O944" s="184" t="str">
        <f>"["&amp;$C944&amp;"]["&amp;$D944&amp;"]["&amp;$F944&amp;"]"</f>
        <v>[S05_DefaultValues][51][InstallationNumber]</v>
      </c>
    </row>
    <row r="945" spans="1:15" x14ac:dyDescent="0.3">
      <c r="A945" t="s">
        <v>1793</v>
      </c>
      <c r="B945" t="s">
        <v>1950</v>
      </c>
      <c r="C945" t="s">
        <v>1959</v>
      </c>
      <c r="D945">
        <v>52</v>
      </c>
      <c r="E945" t="s">
        <v>1447</v>
      </c>
      <c r="F945" t="s">
        <v>2087</v>
      </c>
      <c r="G945" t="s">
        <v>1811</v>
      </c>
      <c r="H945" t="s">
        <v>1799</v>
      </c>
      <c r="I945">
        <v>3</v>
      </c>
      <c r="J945" t="s">
        <v>1799</v>
      </c>
      <c r="K945" t="s">
        <v>1799</v>
      </c>
      <c r="L945" t="s">
        <v>1799</v>
      </c>
      <c r="M945" t="s">
        <v>1799</v>
      </c>
      <c r="N945" t="s">
        <v>1799</v>
      </c>
      <c r="O945" s="184" t="str">
        <f>"["&amp;$C945&amp;"]["&amp;$D945&amp;"]["&amp;$F945&amp;"]"</f>
        <v>[S05_DefaultValues][52][InstallationNumber]</v>
      </c>
    </row>
    <row r="946" spans="1:15" x14ac:dyDescent="0.3">
      <c r="A946" t="s">
        <v>1793</v>
      </c>
      <c r="B946" t="s">
        <v>1950</v>
      </c>
      <c r="C946" t="s">
        <v>1959</v>
      </c>
      <c r="D946">
        <v>53</v>
      </c>
      <c r="E946" t="s">
        <v>1447</v>
      </c>
      <c r="F946" t="s">
        <v>2087</v>
      </c>
      <c r="G946" t="s">
        <v>1811</v>
      </c>
      <c r="H946" t="s">
        <v>1799</v>
      </c>
      <c r="I946">
        <v>3</v>
      </c>
      <c r="J946" t="s">
        <v>1799</v>
      </c>
      <c r="K946" t="s">
        <v>1799</v>
      </c>
      <c r="L946" t="s">
        <v>1799</v>
      </c>
      <c r="M946" t="s">
        <v>1799</v>
      </c>
      <c r="N946" t="s">
        <v>1799</v>
      </c>
      <c r="O946" s="184" t="str">
        <f>"["&amp;$C946&amp;"]["&amp;$D946&amp;"]["&amp;$F946&amp;"]"</f>
        <v>[S05_DefaultValues][53][InstallationNumber]</v>
      </c>
    </row>
    <row r="947" spans="1:15" x14ac:dyDescent="0.3">
      <c r="A947" t="s">
        <v>1793</v>
      </c>
      <c r="B947" t="s">
        <v>1950</v>
      </c>
      <c r="C947" t="s">
        <v>1959</v>
      </c>
      <c r="D947">
        <v>54</v>
      </c>
      <c r="E947" t="s">
        <v>1447</v>
      </c>
      <c r="F947" t="s">
        <v>2087</v>
      </c>
      <c r="G947" t="s">
        <v>1811</v>
      </c>
      <c r="H947" t="s">
        <v>1799</v>
      </c>
      <c r="I947">
        <v>2</v>
      </c>
      <c r="J947" t="s">
        <v>1799</v>
      </c>
      <c r="K947" t="s">
        <v>1799</v>
      </c>
      <c r="L947" t="s">
        <v>1799</v>
      </c>
      <c r="M947" t="s">
        <v>1799</v>
      </c>
      <c r="N947" t="s">
        <v>1799</v>
      </c>
      <c r="O947" s="184" t="str">
        <f>"["&amp;$C947&amp;"]["&amp;$D947&amp;"]["&amp;$F947&amp;"]"</f>
        <v>[S05_DefaultValues][54][InstallationNumber]</v>
      </c>
    </row>
    <row r="948" spans="1:15" x14ac:dyDescent="0.3">
      <c r="A948" t="s">
        <v>1793</v>
      </c>
      <c r="B948" t="s">
        <v>1950</v>
      </c>
      <c r="C948" t="s">
        <v>1959</v>
      </c>
      <c r="D948">
        <v>55</v>
      </c>
      <c r="E948" t="s">
        <v>1447</v>
      </c>
      <c r="F948" t="s">
        <v>2087</v>
      </c>
      <c r="G948" t="s">
        <v>1811</v>
      </c>
      <c r="H948" t="s">
        <v>1799</v>
      </c>
      <c r="I948">
        <v>5</v>
      </c>
      <c r="J948" t="s">
        <v>1799</v>
      </c>
      <c r="K948" t="s">
        <v>1799</v>
      </c>
      <c r="L948" t="s">
        <v>1799</v>
      </c>
      <c r="M948" t="s">
        <v>1799</v>
      </c>
      <c r="N948" t="s">
        <v>1799</v>
      </c>
      <c r="O948" s="184" t="str">
        <f>"["&amp;$C948&amp;"]["&amp;$D948&amp;"]["&amp;$F948&amp;"]"</f>
        <v>[S05_DefaultValues][55][InstallationNumber]</v>
      </c>
    </row>
    <row r="949" spans="1:15" x14ac:dyDescent="0.3">
      <c r="A949" t="s">
        <v>1793</v>
      </c>
      <c r="B949" t="s">
        <v>1950</v>
      </c>
      <c r="C949" t="s">
        <v>1959</v>
      </c>
      <c r="D949">
        <v>56</v>
      </c>
      <c r="E949" t="s">
        <v>1447</v>
      </c>
      <c r="F949" t="s">
        <v>2087</v>
      </c>
      <c r="G949" t="s">
        <v>1811</v>
      </c>
      <c r="H949" t="s">
        <v>1799</v>
      </c>
      <c r="I949">
        <v>2</v>
      </c>
      <c r="J949" t="s">
        <v>1799</v>
      </c>
      <c r="K949" t="s">
        <v>1799</v>
      </c>
      <c r="L949" t="s">
        <v>1799</v>
      </c>
      <c r="M949" t="s">
        <v>1799</v>
      </c>
      <c r="N949" t="s">
        <v>1799</v>
      </c>
      <c r="O949" s="184" t="str">
        <f>"["&amp;$C949&amp;"]["&amp;$D949&amp;"]["&amp;$F949&amp;"]"</f>
        <v>[S05_DefaultValues][56][InstallationNumber]</v>
      </c>
    </row>
    <row r="950" spans="1:15" x14ac:dyDescent="0.3">
      <c r="A950" t="s">
        <v>1793</v>
      </c>
      <c r="B950" t="s">
        <v>1950</v>
      </c>
      <c r="C950" t="s">
        <v>1959</v>
      </c>
      <c r="D950">
        <v>57</v>
      </c>
      <c r="E950" t="s">
        <v>1447</v>
      </c>
      <c r="F950" t="s">
        <v>2087</v>
      </c>
      <c r="G950" t="s">
        <v>1811</v>
      </c>
      <c r="H950" t="s">
        <v>1799</v>
      </c>
      <c r="I950">
        <v>7</v>
      </c>
      <c r="J950" t="s">
        <v>1799</v>
      </c>
      <c r="K950" t="s">
        <v>1799</v>
      </c>
      <c r="L950" t="s">
        <v>1799</v>
      </c>
      <c r="M950" t="s">
        <v>1799</v>
      </c>
      <c r="N950" t="s">
        <v>1799</v>
      </c>
      <c r="O950" s="184" t="str">
        <f>"["&amp;$C950&amp;"]["&amp;$D950&amp;"]["&amp;$F950&amp;"]"</f>
        <v>[S05_DefaultValues][57][InstallationNumber]</v>
      </c>
    </row>
    <row r="951" spans="1:15" x14ac:dyDescent="0.3">
      <c r="A951" t="s">
        <v>1793</v>
      </c>
      <c r="B951" t="s">
        <v>1950</v>
      </c>
      <c r="C951" t="s">
        <v>1959</v>
      </c>
      <c r="D951">
        <v>58</v>
      </c>
      <c r="E951" t="s">
        <v>1447</v>
      </c>
      <c r="F951" t="s">
        <v>2087</v>
      </c>
      <c r="G951" t="s">
        <v>1811</v>
      </c>
      <c r="H951" t="s">
        <v>1799</v>
      </c>
      <c r="I951">
        <v>1</v>
      </c>
      <c r="J951" t="s">
        <v>1799</v>
      </c>
      <c r="K951" t="s">
        <v>1799</v>
      </c>
      <c r="L951" t="s">
        <v>1799</v>
      </c>
      <c r="M951" t="s">
        <v>1799</v>
      </c>
      <c r="N951" t="s">
        <v>1799</v>
      </c>
      <c r="O951" s="184" t="str">
        <f>"["&amp;$C951&amp;"]["&amp;$D951&amp;"]["&amp;$F951&amp;"]"</f>
        <v>[S05_DefaultValues][58][InstallationNumber]</v>
      </c>
    </row>
    <row r="952" spans="1:15" x14ac:dyDescent="0.3">
      <c r="A952" t="s">
        <v>1793</v>
      </c>
      <c r="B952" t="s">
        <v>1950</v>
      </c>
      <c r="C952" t="s">
        <v>1959</v>
      </c>
      <c r="D952">
        <v>59</v>
      </c>
      <c r="E952" t="s">
        <v>1447</v>
      </c>
      <c r="F952" t="s">
        <v>2087</v>
      </c>
      <c r="G952" t="s">
        <v>1811</v>
      </c>
      <c r="H952" t="s">
        <v>1799</v>
      </c>
      <c r="I952">
        <v>19</v>
      </c>
      <c r="J952" t="s">
        <v>1799</v>
      </c>
      <c r="K952" t="s">
        <v>1799</v>
      </c>
      <c r="L952" t="s">
        <v>1799</v>
      </c>
      <c r="M952" t="s">
        <v>1799</v>
      </c>
      <c r="N952" t="s">
        <v>1799</v>
      </c>
      <c r="O952" s="184" t="str">
        <f>"["&amp;$C952&amp;"]["&amp;$D952&amp;"]["&amp;$F952&amp;"]"</f>
        <v>[S05_DefaultValues][59][InstallationNumber]</v>
      </c>
    </row>
    <row r="953" spans="1:15" x14ac:dyDescent="0.3">
      <c r="A953" t="s">
        <v>1793</v>
      </c>
      <c r="B953" t="s">
        <v>1950</v>
      </c>
      <c r="C953" t="s">
        <v>1959</v>
      </c>
      <c r="D953">
        <v>60</v>
      </c>
      <c r="E953" t="s">
        <v>1447</v>
      </c>
      <c r="F953" t="s">
        <v>2087</v>
      </c>
      <c r="G953" t="s">
        <v>1811</v>
      </c>
      <c r="H953" t="s">
        <v>1799</v>
      </c>
      <c r="I953">
        <v>1</v>
      </c>
      <c r="J953" t="s">
        <v>1799</v>
      </c>
      <c r="K953" t="s">
        <v>1799</v>
      </c>
      <c r="L953" t="s">
        <v>1799</v>
      </c>
      <c r="M953" t="s">
        <v>1799</v>
      </c>
      <c r="N953" t="s">
        <v>1799</v>
      </c>
      <c r="O953" s="184" t="str">
        <f>"["&amp;$C953&amp;"]["&amp;$D953&amp;"]["&amp;$F953&amp;"]"</f>
        <v>[S05_DefaultValues][60][InstallationNumber]</v>
      </c>
    </row>
    <row r="954" spans="1:15" x14ac:dyDescent="0.3">
      <c r="A954" t="s">
        <v>1793</v>
      </c>
      <c r="B954" t="s">
        <v>1950</v>
      </c>
      <c r="C954" t="s">
        <v>1959</v>
      </c>
      <c r="D954">
        <v>61</v>
      </c>
      <c r="E954" t="s">
        <v>1447</v>
      </c>
      <c r="F954" t="s">
        <v>2087</v>
      </c>
      <c r="G954" t="s">
        <v>1811</v>
      </c>
      <c r="H954" t="s">
        <v>1799</v>
      </c>
      <c r="I954">
        <v>1</v>
      </c>
      <c r="J954" t="s">
        <v>1799</v>
      </c>
      <c r="K954" t="s">
        <v>1799</v>
      </c>
      <c r="L954" t="s">
        <v>1799</v>
      </c>
      <c r="M954" t="s">
        <v>1799</v>
      </c>
      <c r="N954" t="s">
        <v>1799</v>
      </c>
      <c r="O954" s="184" t="str">
        <f>"["&amp;$C954&amp;"]["&amp;$D954&amp;"]["&amp;$F954&amp;"]"</f>
        <v>[S05_DefaultValues][61][InstallationNumber]</v>
      </c>
    </row>
    <row r="955" spans="1:15" x14ac:dyDescent="0.3">
      <c r="A955" t="s">
        <v>1793</v>
      </c>
      <c r="B955" t="s">
        <v>1950</v>
      </c>
      <c r="C955" t="s">
        <v>1959</v>
      </c>
      <c r="D955">
        <v>62</v>
      </c>
      <c r="E955" t="s">
        <v>1447</v>
      </c>
      <c r="F955" t="s">
        <v>2087</v>
      </c>
      <c r="G955" t="s">
        <v>1811</v>
      </c>
      <c r="H955" t="s">
        <v>1799</v>
      </c>
      <c r="I955">
        <v>2</v>
      </c>
      <c r="J955" t="s">
        <v>1799</v>
      </c>
      <c r="K955" t="s">
        <v>1799</v>
      </c>
      <c r="L955" t="s">
        <v>1799</v>
      </c>
      <c r="M955" t="s">
        <v>1799</v>
      </c>
      <c r="N955" t="s">
        <v>1799</v>
      </c>
      <c r="O955" s="184" t="str">
        <f>"["&amp;$C955&amp;"]["&amp;$D955&amp;"]["&amp;$F955&amp;"]"</f>
        <v>[S05_DefaultValues][62][InstallationNumber]</v>
      </c>
    </row>
    <row r="956" spans="1:15" x14ac:dyDescent="0.3">
      <c r="A956" t="s">
        <v>1793</v>
      </c>
      <c r="B956" t="s">
        <v>1950</v>
      </c>
      <c r="C956" t="s">
        <v>1959</v>
      </c>
      <c r="D956">
        <v>63</v>
      </c>
      <c r="E956" t="s">
        <v>1447</v>
      </c>
      <c r="F956" t="s">
        <v>2087</v>
      </c>
      <c r="G956" t="s">
        <v>1811</v>
      </c>
      <c r="H956" t="s">
        <v>1799</v>
      </c>
      <c r="I956">
        <v>1</v>
      </c>
      <c r="J956" t="s">
        <v>1799</v>
      </c>
      <c r="K956" t="s">
        <v>1799</v>
      </c>
      <c r="L956" t="s">
        <v>1799</v>
      </c>
      <c r="M956" t="s">
        <v>1799</v>
      </c>
      <c r="N956" t="s">
        <v>1799</v>
      </c>
      <c r="O956" s="184" t="str">
        <f>"["&amp;$C956&amp;"]["&amp;$D956&amp;"]["&amp;$F956&amp;"]"</f>
        <v>[S05_DefaultValues][63][InstallationNumber]</v>
      </c>
    </row>
    <row r="957" spans="1:15" x14ac:dyDescent="0.3">
      <c r="A957" t="s">
        <v>1793</v>
      </c>
      <c r="B957" t="s">
        <v>1950</v>
      </c>
      <c r="C957" t="s">
        <v>1959</v>
      </c>
      <c r="D957">
        <v>64</v>
      </c>
      <c r="E957" t="s">
        <v>1447</v>
      </c>
      <c r="F957" t="s">
        <v>2087</v>
      </c>
      <c r="G957" t="s">
        <v>1811</v>
      </c>
      <c r="H957" t="s">
        <v>1799</v>
      </c>
      <c r="I957">
        <v>17</v>
      </c>
      <c r="J957" t="s">
        <v>1799</v>
      </c>
      <c r="K957" t="s">
        <v>1799</v>
      </c>
      <c r="L957" t="s">
        <v>1799</v>
      </c>
      <c r="M957" t="s">
        <v>1799</v>
      </c>
      <c r="N957" t="s">
        <v>1799</v>
      </c>
      <c r="O957" s="184" t="str">
        <f>"["&amp;$C957&amp;"]["&amp;$D957&amp;"]["&amp;$F957&amp;"]"</f>
        <v>[S05_DefaultValues][64][InstallationNumber]</v>
      </c>
    </row>
    <row r="958" spans="1:15" x14ac:dyDescent="0.3">
      <c r="A958" t="s">
        <v>1793</v>
      </c>
      <c r="B958" t="s">
        <v>1950</v>
      </c>
      <c r="C958" t="s">
        <v>1959</v>
      </c>
      <c r="D958">
        <v>65</v>
      </c>
      <c r="E958" t="s">
        <v>1447</v>
      </c>
      <c r="F958" t="s">
        <v>2087</v>
      </c>
      <c r="G958" t="s">
        <v>1811</v>
      </c>
      <c r="H958" t="s">
        <v>1799</v>
      </c>
      <c r="I958">
        <v>5</v>
      </c>
      <c r="J958" t="s">
        <v>1799</v>
      </c>
      <c r="K958" t="s">
        <v>1799</v>
      </c>
      <c r="L958" t="s">
        <v>1799</v>
      </c>
      <c r="M958" t="s">
        <v>1799</v>
      </c>
      <c r="N958" t="s">
        <v>1799</v>
      </c>
      <c r="O958" s="184" t="str">
        <f>"["&amp;$C958&amp;"]["&amp;$D958&amp;"]["&amp;$F958&amp;"]"</f>
        <v>[S05_DefaultValues][65][InstallationNumber]</v>
      </c>
    </row>
    <row r="959" spans="1:15" x14ac:dyDescent="0.3">
      <c r="A959" t="s">
        <v>1793</v>
      </c>
      <c r="B959" t="s">
        <v>1950</v>
      </c>
      <c r="C959" t="s">
        <v>1959</v>
      </c>
      <c r="D959">
        <v>66</v>
      </c>
      <c r="E959" t="s">
        <v>1447</v>
      </c>
      <c r="F959" t="s">
        <v>2087</v>
      </c>
      <c r="G959" t="s">
        <v>1811</v>
      </c>
      <c r="H959" t="s">
        <v>1799</v>
      </c>
      <c r="I959">
        <v>10</v>
      </c>
      <c r="J959" t="s">
        <v>1799</v>
      </c>
      <c r="K959" t="s">
        <v>1799</v>
      </c>
      <c r="L959" t="s">
        <v>1799</v>
      </c>
      <c r="M959" t="s">
        <v>1799</v>
      </c>
      <c r="N959" t="s">
        <v>1799</v>
      </c>
      <c r="O959" s="184" t="str">
        <f>"["&amp;$C959&amp;"]["&amp;$D959&amp;"]["&amp;$F959&amp;"]"</f>
        <v>[S05_DefaultValues][66][InstallationNumber]</v>
      </c>
    </row>
    <row r="960" spans="1:15" x14ac:dyDescent="0.3">
      <c r="A960" t="s">
        <v>1793</v>
      </c>
      <c r="B960" t="s">
        <v>1950</v>
      </c>
      <c r="C960" t="s">
        <v>1959</v>
      </c>
      <c r="D960">
        <v>67</v>
      </c>
      <c r="E960" t="s">
        <v>1447</v>
      </c>
      <c r="F960" t="s">
        <v>2087</v>
      </c>
      <c r="G960" t="s">
        <v>1811</v>
      </c>
      <c r="H960" t="s">
        <v>1799</v>
      </c>
      <c r="I960">
        <v>2</v>
      </c>
      <c r="J960" t="s">
        <v>1799</v>
      </c>
      <c r="K960" t="s">
        <v>1799</v>
      </c>
      <c r="L960" t="s">
        <v>1799</v>
      </c>
      <c r="M960" t="s">
        <v>1799</v>
      </c>
      <c r="N960" t="s">
        <v>1799</v>
      </c>
      <c r="O960" s="184" t="str">
        <f>"["&amp;$C960&amp;"]["&amp;$D960&amp;"]["&amp;$F960&amp;"]"</f>
        <v>[S05_DefaultValues][67][InstallationNumber]</v>
      </c>
    </row>
    <row r="961" spans="1:15" x14ac:dyDescent="0.3">
      <c r="A961" t="s">
        <v>1793</v>
      </c>
      <c r="B961" t="s">
        <v>1950</v>
      </c>
      <c r="C961" t="s">
        <v>1959</v>
      </c>
      <c r="D961">
        <v>68</v>
      </c>
      <c r="E961" t="s">
        <v>1447</v>
      </c>
      <c r="F961" t="s">
        <v>2087</v>
      </c>
      <c r="G961" t="s">
        <v>1811</v>
      </c>
      <c r="H961" t="s">
        <v>1799</v>
      </c>
      <c r="I961">
        <v>1</v>
      </c>
      <c r="J961" t="s">
        <v>1799</v>
      </c>
      <c r="K961" t="s">
        <v>1799</v>
      </c>
      <c r="L961" t="s">
        <v>1799</v>
      </c>
      <c r="M961" t="s">
        <v>1799</v>
      </c>
      <c r="N961" t="s">
        <v>1799</v>
      </c>
      <c r="O961" s="184" t="str">
        <f>"["&amp;$C961&amp;"]["&amp;$D961&amp;"]["&amp;$F961&amp;"]"</f>
        <v>[S05_DefaultValues][68][InstallationNumber]</v>
      </c>
    </row>
    <row r="962" spans="1:15" x14ac:dyDescent="0.3">
      <c r="A962" t="s">
        <v>1793</v>
      </c>
      <c r="B962" t="s">
        <v>1950</v>
      </c>
      <c r="C962" t="s">
        <v>1959</v>
      </c>
      <c r="D962">
        <v>69</v>
      </c>
      <c r="E962" t="s">
        <v>1447</v>
      </c>
      <c r="F962" t="s">
        <v>2087</v>
      </c>
      <c r="G962" t="s">
        <v>1811</v>
      </c>
      <c r="H962" t="s">
        <v>1799</v>
      </c>
      <c r="I962">
        <v>1</v>
      </c>
      <c r="J962" t="s">
        <v>1799</v>
      </c>
      <c r="K962" t="s">
        <v>1799</v>
      </c>
      <c r="L962" t="s">
        <v>1799</v>
      </c>
      <c r="M962" t="s">
        <v>1799</v>
      </c>
      <c r="N962" t="s">
        <v>1799</v>
      </c>
      <c r="O962" s="184" t="str">
        <f>"["&amp;$C962&amp;"]["&amp;$D962&amp;"]["&amp;$F962&amp;"]"</f>
        <v>[S05_DefaultValues][69][InstallationNumber]</v>
      </c>
    </row>
    <row r="963" spans="1:15" x14ac:dyDescent="0.3">
      <c r="A963" t="s">
        <v>1793</v>
      </c>
      <c r="B963" t="s">
        <v>1950</v>
      </c>
      <c r="C963" t="s">
        <v>1959</v>
      </c>
      <c r="D963">
        <v>70</v>
      </c>
      <c r="E963" t="s">
        <v>1447</v>
      </c>
      <c r="F963" t="s">
        <v>2087</v>
      </c>
      <c r="G963" t="s">
        <v>1811</v>
      </c>
      <c r="H963" t="s">
        <v>1799</v>
      </c>
      <c r="I963">
        <v>1</v>
      </c>
      <c r="J963" t="s">
        <v>1799</v>
      </c>
      <c r="K963" t="s">
        <v>1799</v>
      </c>
      <c r="L963" t="s">
        <v>1799</v>
      </c>
      <c r="M963" t="s">
        <v>1799</v>
      </c>
      <c r="N963" t="s">
        <v>1799</v>
      </c>
      <c r="O963" s="184" t="str">
        <f>"["&amp;$C963&amp;"]["&amp;$D963&amp;"]["&amp;$F963&amp;"]"</f>
        <v>[S05_DefaultValues][70][InstallationNumber]</v>
      </c>
    </row>
    <row r="964" spans="1:15" x14ac:dyDescent="0.3">
      <c r="A964" t="s">
        <v>1793</v>
      </c>
      <c r="B964" t="s">
        <v>1950</v>
      </c>
      <c r="C964" t="s">
        <v>1959</v>
      </c>
      <c r="D964">
        <v>71</v>
      </c>
      <c r="E964" t="s">
        <v>1447</v>
      </c>
      <c r="F964" t="s">
        <v>2087</v>
      </c>
      <c r="G964" t="s">
        <v>1811</v>
      </c>
      <c r="H964" t="s">
        <v>1799</v>
      </c>
      <c r="I964">
        <v>11</v>
      </c>
      <c r="J964" t="s">
        <v>1799</v>
      </c>
      <c r="K964" t="s">
        <v>1799</v>
      </c>
      <c r="L964" t="s">
        <v>1799</v>
      </c>
      <c r="M964" t="s">
        <v>1799</v>
      </c>
      <c r="N964" t="s">
        <v>1799</v>
      </c>
      <c r="O964" s="184" t="str">
        <f>"["&amp;$C964&amp;"]["&amp;$D964&amp;"]["&amp;$F964&amp;"]"</f>
        <v>[S05_DefaultValues][71][InstallationNumber]</v>
      </c>
    </row>
    <row r="965" spans="1:15" x14ac:dyDescent="0.3">
      <c r="A965" t="s">
        <v>1793</v>
      </c>
      <c r="B965" t="s">
        <v>1950</v>
      </c>
      <c r="C965" t="s">
        <v>1959</v>
      </c>
      <c r="D965">
        <v>72</v>
      </c>
      <c r="E965" t="s">
        <v>1447</v>
      </c>
      <c r="F965" t="s">
        <v>2087</v>
      </c>
      <c r="G965" t="s">
        <v>1811</v>
      </c>
      <c r="H965" t="s">
        <v>1799</v>
      </c>
      <c r="I965">
        <v>2</v>
      </c>
      <c r="J965" t="s">
        <v>1799</v>
      </c>
      <c r="K965" t="s">
        <v>1799</v>
      </c>
      <c r="L965" t="s">
        <v>1799</v>
      </c>
      <c r="M965" t="s">
        <v>1799</v>
      </c>
      <c r="N965" t="s">
        <v>1799</v>
      </c>
      <c r="O965" s="184" t="str">
        <f>"["&amp;$C965&amp;"]["&amp;$D965&amp;"]["&amp;$F965&amp;"]"</f>
        <v>[S05_DefaultValues][72][InstallationNumber]</v>
      </c>
    </row>
    <row r="966" spans="1:15" x14ac:dyDescent="0.3">
      <c r="A966" t="s">
        <v>1793</v>
      </c>
      <c r="B966" t="s">
        <v>1950</v>
      </c>
      <c r="C966" t="s">
        <v>1959</v>
      </c>
      <c r="D966">
        <v>73</v>
      </c>
      <c r="E966" t="s">
        <v>1447</v>
      </c>
      <c r="F966" t="s">
        <v>2087</v>
      </c>
      <c r="G966" t="s">
        <v>1811</v>
      </c>
      <c r="H966" t="s">
        <v>1799</v>
      </c>
      <c r="I966">
        <v>4</v>
      </c>
      <c r="J966" t="s">
        <v>1799</v>
      </c>
      <c r="K966" t="s">
        <v>1799</v>
      </c>
      <c r="L966" t="s">
        <v>1799</v>
      </c>
      <c r="M966" t="s">
        <v>1799</v>
      </c>
      <c r="N966" t="s">
        <v>1799</v>
      </c>
      <c r="O966" s="184" t="str">
        <f>"["&amp;$C966&amp;"]["&amp;$D966&amp;"]["&amp;$F966&amp;"]"</f>
        <v>[S05_DefaultValues][73][InstallationNumber]</v>
      </c>
    </row>
    <row r="967" spans="1:15" x14ac:dyDescent="0.3">
      <c r="A967" t="s">
        <v>1793</v>
      </c>
      <c r="B967" t="s">
        <v>1950</v>
      </c>
      <c r="C967" t="s">
        <v>1959</v>
      </c>
      <c r="D967">
        <v>74</v>
      </c>
      <c r="E967" t="s">
        <v>1447</v>
      </c>
      <c r="F967" t="s">
        <v>2087</v>
      </c>
      <c r="G967" t="s">
        <v>1811</v>
      </c>
      <c r="H967" t="s">
        <v>1799</v>
      </c>
      <c r="I967">
        <v>5</v>
      </c>
      <c r="J967" t="s">
        <v>1799</v>
      </c>
      <c r="K967" t="s">
        <v>1799</v>
      </c>
      <c r="L967" t="s">
        <v>1799</v>
      </c>
      <c r="M967" t="s">
        <v>1799</v>
      </c>
      <c r="N967" t="s">
        <v>1799</v>
      </c>
      <c r="O967" s="184" t="str">
        <f>"["&amp;$C967&amp;"]["&amp;$D967&amp;"]["&amp;$F967&amp;"]"</f>
        <v>[S05_DefaultValues][74][InstallationNumber]</v>
      </c>
    </row>
    <row r="968" spans="1:15" x14ac:dyDescent="0.3">
      <c r="A968" t="s">
        <v>1793</v>
      </c>
      <c r="B968" t="s">
        <v>1950</v>
      </c>
      <c r="C968" t="s">
        <v>1959</v>
      </c>
      <c r="D968">
        <v>75</v>
      </c>
      <c r="E968" t="s">
        <v>1447</v>
      </c>
      <c r="F968" t="s">
        <v>2087</v>
      </c>
      <c r="G968" t="s">
        <v>1811</v>
      </c>
      <c r="H968" t="s">
        <v>1799</v>
      </c>
      <c r="I968">
        <v>5</v>
      </c>
      <c r="J968" t="s">
        <v>1799</v>
      </c>
      <c r="K968" t="s">
        <v>1799</v>
      </c>
      <c r="L968" t="s">
        <v>1799</v>
      </c>
      <c r="M968" t="s">
        <v>1799</v>
      </c>
      <c r="N968" t="s">
        <v>1799</v>
      </c>
      <c r="O968" s="184" t="str">
        <f>"["&amp;$C968&amp;"]["&amp;$D968&amp;"]["&amp;$F968&amp;"]"</f>
        <v>[S05_DefaultValues][75][InstallationNumber]</v>
      </c>
    </row>
    <row r="969" spans="1:15" x14ac:dyDescent="0.3">
      <c r="A969" t="s">
        <v>1793</v>
      </c>
      <c r="B969" t="s">
        <v>1950</v>
      </c>
      <c r="C969" t="s">
        <v>1959</v>
      </c>
      <c r="D969">
        <v>76</v>
      </c>
      <c r="E969" t="s">
        <v>1447</v>
      </c>
      <c r="F969" t="s">
        <v>2087</v>
      </c>
      <c r="G969" t="s">
        <v>1811</v>
      </c>
      <c r="H969" t="s">
        <v>1799</v>
      </c>
      <c r="I969">
        <v>1</v>
      </c>
      <c r="J969" t="s">
        <v>1799</v>
      </c>
      <c r="K969" t="s">
        <v>1799</v>
      </c>
      <c r="L969" t="s">
        <v>1799</v>
      </c>
      <c r="M969" t="s">
        <v>1799</v>
      </c>
      <c r="N969" t="s">
        <v>1799</v>
      </c>
      <c r="O969" s="184" t="str">
        <f>"["&amp;$C969&amp;"]["&amp;$D969&amp;"]["&amp;$F969&amp;"]"</f>
        <v>[S05_DefaultValues][76][InstallationNumber]</v>
      </c>
    </row>
    <row r="970" spans="1:15" x14ac:dyDescent="0.3">
      <c r="A970" t="s">
        <v>1793</v>
      </c>
      <c r="B970" t="s">
        <v>1950</v>
      </c>
      <c r="C970" t="s">
        <v>1959</v>
      </c>
      <c r="D970">
        <v>77</v>
      </c>
      <c r="E970" t="s">
        <v>1447</v>
      </c>
      <c r="F970" t="s">
        <v>2087</v>
      </c>
      <c r="G970" t="s">
        <v>1811</v>
      </c>
      <c r="H970" t="s">
        <v>1799</v>
      </c>
      <c r="I970">
        <v>2</v>
      </c>
      <c r="J970" t="s">
        <v>1799</v>
      </c>
      <c r="K970" t="s">
        <v>1799</v>
      </c>
      <c r="L970" t="s">
        <v>1799</v>
      </c>
      <c r="M970" t="s">
        <v>1799</v>
      </c>
      <c r="N970" t="s">
        <v>1799</v>
      </c>
      <c r="O970" s="184" t="str">
        <f>"["&amp;$C970&amp;"]["&amp;$D970&amp;"]["&amp;$F970&amp;"]"</f>
        <v>[S05_DefaultValues][77][InstallationNumber]</v>
      </c>
    </row>
    <row r="971" spans="1:15" x14ac:dyDescent="0.3">
      <c r="A971" t="s">
        <v>1793</v>
      </c>
      <c r="B971" t="s">
        <v>1950</v>
      </c>
      <c r="C971" t="s">
        <v>1959</v>
      </c>
      <c r="D971">
        <v>78</v>
      </c>
      <c r="E971" t="s">
        <v>1447</v>
      </c>
      <c r="F971" t="s">
        <v>2087</v>
      </c>
      <c r="G971" t="s">
        <v>1811</v>
      </c>
      <c r="H971" t="s">
        <v>1799</v>
      </c>
      <c r="I971">
        <v>1</v>
      </c>
      <c r="J971" t="s">
        <v>1799</v>
      </c>
      <c r="K971" t="s">
        <v>1799</v>
      </c>
      <c r="L971" t="s">
        <v>1799</v>
      </c>
      <c r="M971" t="s">
        <v>1799</v>
      </c>
      <c r="N971" t="s">
        <v>1799</v>
      </c>
      <c r="O971" s="184" t="str">
        <f>"["&amp;$C971&amp;"]["&amp;$D971&amp;"]["&amp;$F971&amp;"]"</f>
        <v>[S05_DefaultValues][78][InstallationNumber]</v>
      </c>
    </row>
    <row r="972" spans="1:15" x14ac:dyDescent="0.3">
      <c r="A972" t="s">
        <v>1793</v>
      </c>
      <c r="B972" t="s">
        <v>1950</v>
      </c>
      <c r="C972" t="s">
        <v>1959</v>
      </c>
      <c r="D972">
        <v>79</v>
      </c>
      <c r="E972" t="s">
        <v>1447</v>
      </c>
      <c r="F972" t="s">
        <v>2087</v>
      </c>
      <c r="G972" t="s">
        <v>1811</v>
      </c>
      <c r="H972" t="s">
        <v>1799</v>
      </c>
      <c r="I972">
        <v>3</v>
      </c>
      <c r="J972" t="s">
        <v>1799</v>
      </c>
      <c r="K972" t="s">
        <v>1799</v>
      </c>
      <c r="L972" t="s">
        <v>1799</v>
      </c>
      <c r="M972" t="s">
        <v>1799</v>
      </c>
      <c r="N972" t="s">
        <v>1799</v>
      </c>
      <c r="O972" s="184" t="str">
        <f>"["&amp;$C972&amp;"]["&amp;$D972&amp;"]["&amp;$F972&amp;"]"</f>
        <v>[S05_DefaultValues][79][InstallationNumber]</v>
      </c>
    </row>
    <row r="973" spans="1:15" x14ac:dyDescent="0.3">
      <c r="A973" t="s">
        <v>1793</v>
      </c>
      <c r="B973" t="s">
        <v>1950</v>
      </c>
      <c r="C973" t="s">
        <v>1959</v>
      </c>
      <c r="D973">
        <v>80</v>
      </c>
      <c r="E973" t="s">
        <v>1447</v>
      </c>
      <c r="F973" t="s">
        <v>2087</v>
      </c>
      <c r="G973" t="s">
        <v>1811</v>
      </c>
      <c r="H973" t="s">
        <v>1799</v>
      </c>
      <c r="I973">
        <v>3</v>
      </c>
      <c r="J973" t="s">
        <v>1799</v>
      </c>
      <c r="K973" t="s">
        <v>1799</v>
      </c>
      <c r="L973" t="s">
        <v>1799</v>
      </c>
      <c r="M973" t="s">
        <v>1799</v>
      </c>
      <c r="N973" t="s">
        <v>1799</v>
      </c>
      <c r="O973" s="184" t="str">
        <f>"["&amp;$C973&amp;"]["&amp;$D973&amp;"]["&amp;$F973&amp;"]"</f>
        <v>[S05_DefaultValues][80][InstallationNumber]</v>
      </c>
    </row>
    <row r="974" spans="1:15" x14ac:dyDescent="0.3">
      <c r="A974" t="s">
        <v>1793</v>
      </c>
      <c r="B974" t="s">
        <v>1950</v>
      </c>
      <c r="C974" t="s">
        <v>1959</v>
      </c>
      <c r="D974">
        <v>81</v>
      </c>
      <c r="E974" t="s">
        <v>1447</v>
      </c>
      <c r="F974" t="s">
        <v>2087</v>
      </c>
      <c r="G974" t="s">
        <v>1811</v>
      </c>
      <c r="H974" t="s">
        <v>1799</v>
      </c>
      <c r="I974">
        <v>1</v>
      </c>
      <c r="J974" t="s">
        <v>1799</v>
      </c>
      <c r="K974" t="s">
        <v>1799</v>
      </c>
      <c r="L974" t="s">
        <v>1799</v>
      </c>
      <c r="M974" t="s">
        <v>1799</v>
      </c>
      <c r="N974" t="s">
        <v>1799</v>
      </c>
      <c r="O974" s="184" t="str">
        <f>"["&amp;$C974&amp;"]["&amp;$D974&amp;"]["&amp;$F974&amp;"]"</f>
        <v>[S05_DefaultValues][81][InstallationNumber]</v>
      </c>
    </row>
    <row r="975" spans="1:15" x14ac:dyDescent="0.3">
      <c r="A975" t="s">
        <v>1793</v>
      </c>
      <c r="B975" t="s">
        <v>1950</v>
      </c>
      <c r="C975" t="s">
        <v>1959</v>
      </c>
      <c r="D975">
        <v>82</v>
      </c>
      <c r="E975" t="s">
        <v>1447</v>
      </c>
      <c r="F975" t="s">
        <v>2087</v>
      </c>
      <c r="G975" t="s">
        <v>1811</v>
      </c>
      <c r="H975" t="s">
        <v>1799</v>
      </c>
      <c r="I975">
        <v>1</v>
      </c>
      <c r="J975" t="s">
        <v>1799</v>
      </c>
      <c r="K975" t="s">
        <v>1799</v>
      </c>
      <c r="L975" t="s">
        <v>1799</v>
      </c>
      <c r="M975" t="s">
        <v>1799</v>
      </c>
      <c r="N975" t="s">
        <v>1799</v>
      </c>
      <c r="O975" s="184" t="str">
        <f>"["&amp;$C975&amp;"]["&amp;$D975&amp;"]["&amp;$F975&amp;"]"</f>
        <v>[S05_DefaultValues][82][InstallationNumber]</v>
      </c>
    </row>
    <row r="976" spans="1:15" x14ac:dyDescent="0.3">
      <c r="A976" t="s">
        <v>1793</v>
      </c>
      <c r="B976" t="s">
        <v>1950</v>
      </c>
      <c r="C976" t="s">
        <v>1959</v>
      </c>
      <c r="D976">
        <v>83</v>
      </c>
      <c r="E976" t="s">
        <v>1447</v>
      </c>
      <c r="F976" t="s">
        <v>2087</v>
      </c>
      <c r="G976" t="s">
        <v>1811</v>
      </c>
      <c r="H976" t="s">
        <v>1799</v>
      </c>
      <c r="I976">
        <v>1</v>
      </c>
      <c r="J976" t="s">
        <v>1799</v>
      </c>
      <c r="K976" t="s">
        <v>1799</v>
      </c>
      <c r="L976" t="s">
        <v>1799</v>
      </c>
      <c r="M976" t="s">
        <v>1799</v>
      </c>
      <c r="N976" t="s">
        <v>1799</v>
      </c>
      <c r="O976" s="184" t="str">
        <f>"["&amp;$C976&amp;"]["&amp;$D976&amp;"]["&amp;$F976&amp;"]"</f>
        <v>[S05_DefaultValues][83][InstallationNumber]</v>
      </c>
    </row>
    <row r="977" spans="1:15" x14ac:dyDescent="0.3">
      <c r="A977" t="s">
        <v>1793</v>
      </c>
      <c r="B977" t="s">
        <v>1950</v>
      </c>
      <c r="C977" t="s">
        <v>1959</v>
      </c>
      <c r="D977">
        <v>84</v>
      </c>
      <c r="E977" t="s">
        <v>1447</v>
      </c>
      <c r="F977" t="s">
        <v>2087</v>
      </c>
      <c r="G977" t="s">
        <v>1811</v>
      </c>
      <c r="H977" t="s">
        <v>1799</v>
      </c>
      <c r="I977">
        <v>1</v>
      </c>
      <c r="J977" t="s">
        <v>1799</v>
      </c>
      <c r="K977" t="s">
        <v>1799</v>
      </c>
      <c r="L977" t="s">
        <v>1799</v>
      </c>
      <c r="M977" t="s">
        <v>1799</v>
      </c>
      <c r="N977" t="s">
        <v>1799</v>
      </c>
      <c r="O977" s="184" t="str">
        <f>"["&amp;$C977&amp;"]["&amp;$D977&amp;"]["&amp;$F977&amp;"]"</f>
        <v>[S05_DefaultValues][84][InstallationNumber]</v>
      </c>
    </row>
    <row r="978" spans="1:15" x14ac:dyDescent="0.3">
      <c r="A978" t="s">
        <v>1793</v>
      </c>
      <c r="B978" t="s">
        <v>1950</v>
      </c>
      <c r="C978" t="s">
        <v>1959</v>
      </c>
      <c r="D978">
        <v>85</v>
      </c>
      <c r="E978" t="s">
        <v>1447</v>
      </c>
      <c r="F978" t="s">
        <v>2087</v>
      </c>
      <c r="G978" t="s">
        <v>1811</v>
      </c>
      <c r="H978" t="s">
        <v>1799</v>
      </c>
      <c r="I978">
        <v>1</v>
      </c>
      <c r="J978" t="s">
        <v>1799</v>
      </c>
      <c r="K978" t="s">
        <v>1799</v>
      </c>
      <c r="L978" t="s">
        <v>1799</v>
      </c>
      <c r="M978" t="s">
        <v>1799</v>
      </c>
      <c r="N978" t="s">
        <v>1799</v>
      </c>
      <c r="O978" s="184" t="str">
        <f>"["&amp;$C978&amp;"]["&amp;$D978&amp;"]["&amp;$F978&amp;"]"</f>
        <v>[S05_DefaultValues][85][InstallationNumber]</v>
      </c>
    </row>
    <row r="979" spans="1:15" x14ac:dyDescent="0.3">
      <c r="A979" t="s">
        <v>1793</v>
      </c>
      <c r="B979" t="s">
        <v>1950</v>
      </c>
      <c r="C979" t="s">
        <v>1959</v>
      </c>
      <c r="D979">
        <v>86</v>
      </c>
      <c r="E979" t="s">
        <v>1447</v>
      </c>
      <c r="F979" t="s">
        <v>2087</v>
      </c>
      <c r="G979" t="s">
        <v>1811</v>
      </c>
      <c r="H979" t="s">
        <v>1799</v>
      </c>
      <c r="I979">
        <v>1</v>
      </c>
      <c r="J979" t="s">
        <v>1799</v>
      </c>
      <c r="K979" t="s">
        <v>1799</v>
      </c>
      <c r="L979" t="s">
        <v>1799</v>
      </c>
      <c r="M979" t="s">
        <v>1799</v>
      </c>
      <c r="N979" t="s">
        <v>1799</v>
      </c>
      <c r="O979" s="184" t="str">
        <f>"["&amp;$C979&amp;"]["&amp;$D979&amp;"]["&amp;$F979&amp;"]"</f>
        <v>[S05_DefaultValues][86][InstallationNumber]</v>
      </c>
    </row>
    <row r="980" spans="1:15" x14ac:dyDescent="0.3">
      <c r="A980" t="s">
        <v>1793</v>
      </c>
      <c r="B980" t="s">
        <v>1950</v>
      </c>
      <c r="C980" t="s">
        <v>1959</v>
      </c>
      <c r="D980">
        <v>87</v>
      </c>
      <c r="E980" t="s">
        <v>1447</v>
      </c>
      <c r="F980" t="s">
        <v>2087</v>
      </c>
      <c r="G980" t="s">
        <v>1811</v>
      </c>
      <c r="H980" t="s">
        <v>1799</v>
      </c>
      <c r="I980">
        <v>1</v>
      </c>
      <c r="J980" t="s">
        <v>1799</v>
      </c>
      <c r="K980" t="s">
        <v>1799</v>
      </c>
      <c r="L980" t="s">
        <v>1799</v>
      </c>
      <c r="M980" t="s">
        <v>1799</v>
      </c>
      <c r="N980" t="s">
        <v>1799</v>
      </c>
      <c r="O980" s="184" t="str">
        <f>"["&amp;$C980&amp;"]["&amp;$D980&amp;"]["&amp;$F980&amp;"]"</f>
        <v>[S05_DefaultValues][87][InstallationNumber]</v>
      </c>
    </row>
    <row r="981" spans="1:15" x14ac:dyDescent="0.3">
      <c r="A981" t="s">
        <v>1793</v>
      </c>
      <c r="B981" t="s">
        <v>1950</v>
      </c>
      <c r="C981" t="s">
        <v>1959</v>
      </c>
      <c r="D981">
        <v>88</v>
      </c>
      <c r="E981" t="s">
        <v>1447</v>
      </c>
      <c r="F981" t="s">
        <v>2087</v>
      </c>
      <c r="G981" t="s">
        <v>1811</v>
      </c>
      <c r="H981" t="s">
        <v>1799</v>
      </c>
      <c r="I981">
        <v>5</v>
      </c>
      <c r="J981" t="s">
        <v>1799</v>
      </c>
      <c r="K981" t="s">
        <v>1799</v>
      </c>
      <c r="L981" t="s">
        <v>1799</v>
      </c>
      <c r="M981" t="s">
        <v>1799</v>
      </c>
      <c r="N981" t="s">
        <v>1799</v>
      </c>
      <c r="O981" s="184" t="str">
        <f>"["&amp;$C981&amp;"]["&amp;$D981&amp;"]["&amp;$F981&amp;"]"</f>
        <v>[S05_DefaultValues][88][InstallationNumber]</v>
      </c>
    </row>
    <row r="982" spans="1:15" x14ac:dyDescent="0.3">
      <c r="A982" t="s">
        <v>1793</v>
      </c>
      <c r="B982" t="s">
        <v>1950</v>
      </c>
      <c r="C982" t="s">
        <v>1959</v>
      </c>
      <c r="D982">
        <v>89</v>
      </c>
      <c r="E982" t="s">
        <v>1447</v>
      </c>
      <c r="F982" t="s">
        <v>2087</v>
      </c>
      <c r="G982" t="s">
        <v>1811</v>
      </c>
      <c r="H982" t="s">
        <v>1799</v>
      </c>
      <c r="I982">
        <v>3</v>
      </c>
      <c r="J982" t="s">
        <v>1799</v>
      </c>
      <c r="K982" t="s">
        <v>1799</v>
      </c>
      <c r="L982" t="s">
        <v>1799</v>
      </c>
      <c r="M982" t="s">
        <v>1799</v>
      </c>
      <c r="N982" t="s">
        <v>1799</v>
      </c>
      <c r="O982" s="184" t="str">
        <f>"["&amp;$C982&amp;"]["&amp;$D982&amp;"]["&amp;$F982&amp;"]"</f>
        <v>[S05_DefaultValues][89][InstallationNumber]</v>
      </c>
    </row>
    <row r="983" spans="1:15" x14ac:dyDescent="0.3">
      <c r="A983" t="s">
        <v>1793</v>
      </c>
      <c r="B983" t="s">
        <v>1950</v>
      </c>
      <c r="C983" t="s">
        <v>1959</v>
      </c>
      <c r="D983">
        <v>90</v>
      </c>
      <c r="E983" t="s">
        <v>1447</v>
      </c>
      <c r="F983" t="s">
        <v>2087</v>
      </c>
      <c r="G983" t="s">
        <v>1811</v>
      </c>
      <c r="H983" t="s">
        <v>1799</v>
      </c>
      <c r="I983">
        <v>5</v>
      </c>
      <c r="J983" t="s">
        <v>1799</v>
      </c>
      <c r="K983" t="s">
        <v>1799</v>
      </c>
      <c r="L983" t="s">
        <v>1799</v>
      </c>
      <c r="M983" t="s">
        <v>1799</v>
      </c>
      <c r="N983" t="s">
        <v>1799</v>
      </c>
      <c r="O983" s="184" t="str">
        <f>"["&amp;$C983&amp;"]["&amp;$D983&amp;"]["&amp;$F983&amp;"]"</f>
        <v>[S05_DefaultValues][90][InstallationNumber]</v>
      </c>
    </row>
    <row r="984" spans="1:15" x14ac:dyDescent="0.3">
      <c r="A984" t="s">
        <v>1793</v>
      </c>
      <c r="B984" t="s">
        <v>1950</v>
      </c>
      <c r="C984" t="s">
        <v>1959</v>
      </c>
      <c r="D984">
        <v>91</v>
      </c>
      <c r="E984" t="s">
        <v>1447</v>
      </c>
      <c r="F984" t="s">
        <v>2087</v>
      </c>
      <c r="G984" t="s">
        <v>1811</v>
      </c>
      <c r="H984" t="s">
        <v>1799</v>
      </c>
      <c r="I984">
        <v>1</v>
      </c>
      <c r="J984" t="s">
        <v>1799</v>
      </c>
      <c r="K984" t="s">
        <v>1799</v>
      </c>
      <c r="L984" t="s">
        <v>1799</v>
      </c>
      <c r="M984" t="s">
        <v>1799</v>
      </c>
      <c r="N984" t="s">
        <v>1799</v>
      </c>
      <c r="O984" s="184" t="str">
        <f>"["&amp;$C984&amp;"]["&amp;$D984&amp;"]["&amp;$F984&amp;"]"</f>
        <v>[S05_DefaultValues][91][InstallationNumber]</v>
      </c>
    </row>
    <row r="985" spans="1:15" x14ac:dyDescent="0.3">
      <c r="A985" t="s">
        <v>1793</v>
      </c>
      <c r="B985" t="s">
        <v>1950</v>
      </c>
      <c r="C985" t="s">
        <v>1959</v>
      </c>
      <c r="D985">
        <v>92</v>
      </c>
      <c r="E985" t="s">
        <v>1447</v>
      </c>
      <c r="F985" t="s">
        <v>2087</v>
      </c>
      <c r="G985" t="s">
        <v>1811</v>
      </c>
      <c r="H985" t="s">
        <v>1799</v>
      </c>
      <c r="I985">
        <v>1</v>
      </c>
      <c r="J985" t="s">
        <v>1799</v>
      </c>
      <c r="K985" t="s">
        <v>1799</v>
      </c>
      <c r="L985" t="s">
        <v>1799</v>
      </c>
      <c r="M985" t="s">
        <v>1799</v>
      </c>
      <c r="N985" t="s">
        <v>1799</v>
      </c>
      <c r="O985" s="184" t="str">
        <f>"["&amp;$C985&amp;"]["&amp;$D985&amp;"]["&amp;$F985&amp;"]"</f>
        <v>[S05_DefaultValues][92][InstallationNumber]</v>
      </c>
    </row>
    <row r="986" spans="1:15" x14ac:dyDescent="0.3">
      <c r="A986" t="s">
        <v>1793</v>
      </c>
      <c r="B986" t="s">
        <v>1950</v>
      </c>
      <c r="C986" t="s">
        <v>1959</v>
      </c>
      <c r="D986">
        <v>93</v>
      </c>
      <c r="E986" t="s">
        <v>1447</v>
      </c>
      <c r="F986" t="s">
        <v>2087</v>
      </c>
      <c r="G986" t="s">
        <v>1811</v>
      </c>
      <c r="H986" t="s">
        <v>1799</v>
      </c>
      <c r="I986">
        <v>1</v>
      </c>
      <c r="J986" t="s">
        <v>1799</v>
      </c>
      <c r="K986" t="s">
        <v>1799</v>
      </c>
      <c r="L986" t="s">
        <v>1799</v>
      </c>
      <c r="M986" t="s">
        <v>1799</v>
      </c>
      <c r="N986" t="s">
        <v>1799</v>
      </c>
      <c r="O986" s="184" t="str">
        <f>"["&amp;$C986&amp;"]["&amp;$D986&amp;"]["&amp;$F986&amp;"]"</f>
        <v>[S05_DefaultValues][93][InstallationNumber]</v>
      </c>
    </row>
    <row r="987" spans="1:15" x14ac:dyDescent="0.3">
      <c r="A987" t="s">
        <v>1793</v>
      </c>
      <c r="B987" t="s">
        <v>1950</v>
      </c>
      <c r="C987" t="s">
        <v>1959</v>
      </c>
      <c r="D987">
        <v>94</v>
      </c>
      <c r="E987" t="s">
        <v>1447</v>
      </c>
      <c r="F987" t="s">
        <v>2087</v>
      </c>
      <c r="G987" t="s">
        <v>1811</v>
      </c>
      <c r="H987" t="s">
        <v>1799</v>
      </c>
      <c r="I987">
        <v>5</v>
      </c>
      <c r="J987" t="s">
        <v>1799</v>
      </c>
      <c r="K987" t="s">
        <v>1799</v>
      </c>
      <c r="L987" t="s">
        <v>1799</v>
      </c>
      <c r="M987" t="s">
        <v>1799</v>
      </c>
      <c r="N987" t="s">
        <v>1799</v>
      </c>
      <c r="O987" s="184" t="str">
        <f>"["&amp;$C987&amp;"]["&amp;$D987&amp;"]["&amp;$F987&amp;"]"</f>
        <v>[S05_DefaultValues][94][InstallationNumber]</v>
      </c>
    </row>
    <row r="988" spans="1:15" x14ac:dyDescent="0.3">
      <c r="A988" t="s">
        <v>1793</v>
      </c>
      <c r="B988" t="s">
        <v>1950</v>
      </c>
      <c r="C988" t="s">
        <v>1959</v>
      </c>
      <c r="D988">
        <v>95</v>
      </c>
      <c r="E988" t="s">
        <v>1447</v>
      </c>
      <c r="F988" t="s">
        <v>2087</v>
      </c>
      <c r="G988" t="s">
        <v>1811</v>
      </c>
      <c r="H988" t="s">
        <v>1799</v>
      </c>
      <c r="I988">
        <v>7</v>
      </c>
      <c r="J988" t="s">
        <v>1799</v>
      </c>
      <c r="K988" t="s">
        <v>1799</v>
      </c>
      <c r="L988" t="s">
        <v>1799</v>
      </c>
      <c r="M988" t="s">
        <v>1799</v>
      </c>
      <c r="N988" t="s">
        <v>1799</v>
      </c>
      <c r="O988" s="184" t="str">
        <f>"["&amp;$C988&amp;"]["&amp;$D988&amp;"]["&amp;$F988&amp;"]"</f>
        <v>[S05_DefaultValues][95][InstallationNumber]</v>
      </c>
    </row>
    <row r="989" spans="1:15" x14ac:dyDescent="0.3">
      <c r="A989" t="s">
        <v>1793</v>
      </c>
      <c r="B989" t="s">
        <v>1950</v>
      </c>
      <c r="C989" t="s">
        <v>1959</v>
      </c>
      <c r="D989">
        <v>96</v>
      </c>
      <c r="E989" t="s">
        <v>1447</v>
      </c>
      <c r="F989" t="s">
        <v>2087</v>
      </c>
      <c r="G989" t="s">
        <v>1811</v>
      </c>
      <c r="H989" t="s">
        <v>1799</v>
      </c>
      <c r="I989">
        <v>28</v>
      </c>
      <c r="J989" t="s">
        <v>1799</v>
      </c>
      <c r="K989" t="s">
        <v>1799</v>
      </c>
      <c r="L989" t="s">
        <v>1799</v>
      </c>
      <c r="M989" t="s">
        <v>1799</v>
      </c>
      <c r="N989" t="s">
        <v>1799</v>
      </c>
      <c r="O989" s="184" t="str">
        <f>"["&amp;$C989&amp;"]["&amp;$D989&amp;"]["&amp;$F989&amp;"]"</f>
        <v>[S05_DefaultValues][96][InstallationNumber]</v>
      </c>
    </row>
    <row r="990" spans="1:15" x14ac:dyDescent="0.3">
      <c r="A990" t="s">
        <v>1793</v>
      </c>
      <c r="B990" t="s">
        <v>1950</v>
      </c>
      <c r="C990" t="s">
        <v>1959</v>
      </c>
      <c r="D990">
        <v>97</v>
      </c>
      <c r="E990" t="s">
        <v>1447</v>
      </c>
      <c r="F990" t="s">
        <v>2087</v>
      </c>
      <c r="G990" t="s">
        <v>1811</v>
      </c>
      <c r="H990" t="s">
        <v>1799</v>
      </c>
      <c r="I990">
        <v>1</v>
      </c>
      <c r="J990" t="s">
        <v>1799</v>
      </c>
      <c r="K990" t="s">
        <v>1799</v>
      </c>
      <c r="L990" t="s">
        <v>1799</v>
      </c>
      <c r="M990" t="s">
        <v>1799</v>
      </c>
      <c r="N990" t="s">
        <v>1799</v>
      </c>
      <c r="O990" s="184" t="str">
        <f>"["&amp;$C990&amp;"]["&amp;$D990&amp;"]["&amp;$F990&amp;"]"</f>
        <v>[S05_DefaultValues][97][InstallationNumber]</v>
      </c>
    </row>
    <row r="991" spans="1:15" x14ac:dyDescent="0.3">
      <c r="A991" t="s">
        <v>1793</v>
      </c>
      <c r="B991" t="s">
        <v>1950</v>
      </c>
      <c r="C991" t="s">
        <v>1959</v>
      </c>
      <c r="D991">
        <v>98</v>
      </c>
      <c r="E991" t="s">
        <v>1447</v>
      </c>
      <c r="F991" t="s">
        <v>2087</v>
      </c>
      <c r="G991" t="s">
        <v>1811</v>
      </c>
      <c r="H991" t="s">
        <v>1799</v>
      </c>
      <c r="I991">
        <v>68</v>
      </c>
      <c r="J991" t="s">
        <v>1799</v>
      </c>
      <c r="K991" t="s">
        <v>1799</v>
      </c>
      <c r="L991" t="s">
        <v>1799</v>
      </c>
      <c r="M991" t="s">
        <v>1799</v>
      </c>
      <c r="N991" t="s">
        <v>1799</v>
      </c>
      <c r="O991" s="184" t="str">
        <f>"["&amp;$C991&amp;"]["&amp;$D991&amp;"]["&amp;$F991&amp;"]"</f>
        <v>[S05_DefaultValues][98][InstallationNumber]</v>
      </c>
    </row>
    <row r="992" spans="1:15" x14ac:dyDescent="0.3">
      <c r="A992" t="s">
        <v>1793</v>
      </c>
      <c r="B992" t="s">
        <v>1950</v>
      </c>
      <c r="C992" t="s">
        <v>1959</v>
      </c>
      <c r="D992">
        <v>99</v>
      </c>
      <c r="E992" t="s">
        <v>1447</v>
      </c>
      <c r="F992" t="s">
        <v>2087</v>
      </c>
      <c r="G992" t="s">
        <v>1811</v>
      </c>
      <c r="H992" t="s">
        <v>1799</v>
      </c>
      <c r="I992">
        <v>2</v>
      </c>
      <c r="J992" t="s">
        <v>1799</v>
      </c>
      <c r="K992" t="s">
        <v>1799</v>
      </c>
      <c r="L992" t="s">
        <v>1799</v>
      </c>
      <c r="M992" t="s">
        <v>1799</v>
      </c>
      <c r="N992" t="s">
        <v>1799</v>
      </c>
      <c r="O992" s="184" t="str">
        <f>"["&amp;$C992&amp;"]["&amp;$D992&amp;"]["&amp;$F992&amp;"]"</f>
        <v>[S05_DefaultValues][99][InstallationNumber]</v>
      </c>
    </row>
    <row r="993" spans="1:15" x14ac:dyDescent="0.3">
      <c r="A993" t="s">
        <v>1793</v>
      </c>
      <c r="B993" t="s">
        <v>1950</v>
      </c>
      <c r="C993" t="s">
        <v>1959</v>
      </c>
      <c r="D993">
        <v>100</v>
      </c>
      <c r="E993" t="s">
        <v>1447</v>
      </c>
      <c r="F993" t="s">
        <v>2087</v>
      </c>
      <c r="G993" t="s">
        <v>1811</v>
      </c>
      <c r="H993" t="s">
        <v>1799</v>
      </c>
      <c r="I993">
        <v>2</v>
      </c>
      <c r="J993" t="s">
        <v>1799</v>
      </c>
      <c r="K993" t="s">
        <v>1799</v>
      </c>
      <c r="L993" t="s">
        <v>1799</v>
      </c>
      <c r="M993" t="s">
        <v>1799</v>
      </c>
      <c r="N993" t="s">
        <v>1799</v>
      </c>
      <c r="O993" s="184" t="str">
        <f>"["&amp;$C993&amp;"]["&amp;$D993&amp;"]["&amp;$F993&amp;"]"</f>
        <v>[S05_DefaultValues][100][InstallationNumber]</v>
      </c>
    </row>
    <row r="994" spans="1:15" x14ac:dyDescent="0.3">
      <c r="A994" t="s">
        <v>1793</v>
      </c>
      <c r="B994" t="s">
        <v>1950</v>
      </c>
      <c r="C994" t="s">
        <v>1959</v>
      </c>
      <c r="D994">
        <v>101</v>
      </c>
      <c r="E994" t="s">
        <v>1447</v>
      </c>
      <c r="F994" t="s">
        <v>2087</v>
      </c>
      <c r="G994" t="s">
        <v>1811</v>
      </c>
      <c r="H994" t="s">
        <v>1799</v>
      </c>
      <c r="I994">
        <v>4</v>
      </c>
      <c r="J994" t="s">
        <v>1799</v>
      </c>
      <c r="K994" t="s">
        <v>1799</v>
      </c>
      <c r="L994" t="s">
        <v>1799</v>
      </c>
      <c r="M994" t="s">
        <v>1799</v>
      </c>
      <c r="N994" t="s">
        <v>1799</v>
      </c>
      <c r="O994" s="184" t="str">
        <f>"["&amp;$C994&amp;"]["&amp;$D994&amp;"]["&amp;$F994&amp;"]"</f>
        <v>[S05_DefaultValues][101][InstallationNumber]</v>
      </c>
    </row>
    <row r="995" spans="1:15" x14ac:dyDescent="0.3">
      <c r="A995" t="s">
        <v>1793</v>
      </c>
      <c r="B995" t="s">
        <v>1950</v>
      </c>
      <c r="C995" t="s">
        <v>1959</v>
      </c>
      <c r="D995">
        <v>102</v>
      </c>
      <c r="E995" t="s">
        <v>1447</v>
      </c>
      <c r="F995" t="s">
        <v>2087</v>
      </c>
      <c r="G995" t="s">
        <v>1811</v>
      </c>
      <c r="H995" t="s">
        <v>1799</v>
      </c>
      <c r="I995">
        <v>200</v>
      </c>
      <c r="J995" t="s">
        <v>1799</v>
      </c>
      <c r="K995" t="s">
        <v>1799</v>
      </c>
      <c r="L995" t="s">
        <v>1799</v>
      </c>
      <c r="M995" t="s">
        <v>1799</v>
      </c>
      <c r="N995" t="s">
        <v>1799</v>
      </c>
      <c r="O995" s="184" t="str">
        <f>"["&amp;$C995&amp;"]["&amp;$D995&amp;"]["&amp;$F995&amp;"]"</f>
        <v>[S05_DefaultValues][102][InstallationNumber]</v>
      </c>
    </row>
    <row r="996" spans="1:15" x14ac:dyDescent="0.3">
      <c r="A996" t="s">
        <v>1793</v>
      </c>
      <c r="B996" t="s">
        <v>1950</v>
      </c>
      <c r="C996" t="s">
        <v>1959</v>
      </c>
      <c r="D996">
        <v>103</v>
      </c>
      <c r="E996" t="s">
        <v>1447</v>
      </c>
      <c r="F996" t="s">
        <v>2087</v>
      </c>
      <c r="G996" t="s">
        <v>1811</v>
      </c>
      <c r="H996" t="s">
        <v>1799</v>
      </c>
      <c r="I996">
        <v>32</v>
      </c>
      <c r="J996" t="s">
        <v>1799</v>
      </c>
      <c r="K996" t="s">
        <v>1799</v>
      </c>
      <c r="L996" t="s">
        <v>1799</v>
      </c>
      <c r="M996" t="s">
        <v>1799</v>
      </c>
      <c r="N996" t="s">
        <v>1799</v>
      </c>
      <c r="O996" s="184" t="str">
        <f>"["&amp;$C996&amp;"]["&amp;$D996&amp;"]["&amp;$F996&amp;"]"</f>
        <v>[S05_DefaultValues][103][InstallationNumber]</v>
      </c>
    </row>
    <row r="997" spans="1:15" x14ac:dyDescent="0.3">
      <c r="A997" t="s">
        <v>1793</v>
      </c>
      <c r="B997" t="s">
        <v>1950</v>
      </c>
      <c r="C997" t="s">
        <v>1959</v>
      </c>
      <c r="D997">
        <v>104</v>
      </c>
      <c r="E997" t="s">
        <v>1447</v>
      </c>
      <c r="F997" t="s">
        <v>2087</v>
      </c>
      <c r="G997" t="s">
        <v>1811</v>
      </c>
      <c r="H997" t="s">
        <v>1799</v>
      </c>
      <c r="I997">
        <v>4</v>
      </c>
      <c r="J997" t="s">
        <v>1799</v>
      </c>
      <c r="K997" t="s">
        <v>1799</v>
      </c>
      <c r="L997" t="s">
        <v>1799</v>
      </c>
      <c r="M997" t="s">
        <v>1799</v>
      </c>
      <c r="N997" t="s">
        <v>1799</v>
      </c>
      <c r="O997" s="184" t="str">
        <f>"["&amp;$C997&amp;"]["&amp;$D997&amp;"]["&amp;$F997&amp;"]"</f>
        <v>[S05_DefaultValues][104][InstallationNumber]</v>
      </c>
    </row>
    <row r="998" spans="1:15" x14ac:dyDescent="0.3">
      <c r="A998" t="s">
        <v>1793</v>
      </c>
      <c r="B998" t="s">
        <v>1950</v>
      </c>
      <c r="C998" t="s">
        <v>1959</v>
      </c>
      <c r="D998">
        <v>105</v>
      </c>
      <c r="E998" t="s">
        <v>1447</v>
      </c>
      <c r="F998" t="s">
        <v>2087</v>
      </c>
      <c r="G998" t="s">
        <v>1811</v>
      </c>
      <c r="H998" t="s">
        <v>1799</v>
      </c>
      <c r="I998">
        <v>21</v>
      </c>
      <c r="J998" t="s">
        <v>1799</v>
      </c>
      <c r="K998" t="s">
        <v>1799</v>
      </c>
      <c r="L998" t="s">
        <v>1799</v>
      </c>
      <c r="M998" t="s">
        <v>1799</v>
      </c>
      <c r="N998" t="s">
        <v>1799</v>
      </c>
      <c r="O998" s="184" t="str">
        <f>"["&amp;$C998&amp;"]["&amp;$D998&amp;"]["&amp;$F998&amp;"]"</f>
        <v>[S05_DefaultValues][105][InstallationNumber]</v>
      </c>
    </row>
    <row r="999" spans="1:15" x14ac:dyDescent="0.3">
      <c r="A999" t="s">
        <v>1793</v>
      </c>
      <c r="B999" t="s">
        <v>1950</v>
      </c>
      <c r="C999" t="s">
        <v>1959</v>
      </c>
      <c r="D999">
        <v>106</v>
      </c>
      <c r="E999" t="s">
        <v>1447</v>
      </c>
      <c r="F999" t="s">
        <v>2087</v>
      </c>
      <c r="G999" t="s">
        <v>1811</v>
      </c>
      <c r="H999" t="s">
        <v>1799</v>
      </c>
      <c r="I999">
        <v>4</v>
      </c>
      <c r="J999" t="s">
        <v>1799</v>
      </c>
      <c r="K999" t="s">
        <v>1799</v>
      </c>
      <c r="L999" t="s">
        <v>1799</v>
      </c>
      <c r="M999" t="s">
        <v>1799</v>
      </c>
      <c r="N999" t="s">
        <v>1799</v>
      </c>
      <c r="O999" s="184" t="str">
        <f>"["&amp;$C999&amp;"]["&amp;$D999&amp;"]["&amp;$F999&amp;"]"</f>
        <v>[S05_DefaultValues][106][InstallationNumber]</v>
      </c>
    </row>
    <row r="1000" spans="1:15" x14ac:dyDescent="0.3">
      <c r="A1000" t="s">
        <v>1793</v>
      </c>
      <c r="B1000" t="s">
        <v>1950</v>
      </c>
      <c r="C1000" t="s">
        <v>1959</v>
      </c>
      <c r="D1000">
        <v>107</v>
      </c>
      <c r="E1000" t="s">
        <v>1447</v>
      </c>
      <c r="F1000" t="s">
        <v>2087</v>
      </c>
      <c r="G1000" t="s">
        <v>1811</v>
      </c>
      <c r="H1000" t="s">
        <v>1799</v>
      </c>
      <c r="I1000">
        <v>5</v>
      </c>
      <c r="J1000" t="s">
        <v>1799</v>
      </c>
      <c r="K1000" t="s">
        <v>1799</v>
      </c>
      <c r="L1000" t="s">
        <v>1799</v>
      </c>
      <c r="M1000" t="s">
        <v>1799</v>
      </c>
      <c r="N1000" t="s">
        <v>1799</v>
      </c>
      <c r="O1000" s="184" t="str">
        <f>"["&amp;$C1000&amp;"]["&amp;$D1000&amp;"]["&amp;$F1000&amp;"]"</f>
        <v>[S05_DefaultValues][107][InstallationNumber]</v>
      </c>
    </row>
    <row r="1001" spans="1:15" x14ac:dyDescent="0.3">
      <c r="A1001" t="s">
        <v>1793</v>
      </c>
      <c r="B1001" t="s">
        <v>1950</v>
      </c>
      <c r="C1001" t="s">
        <v>1959</v>
      </c>
      <c r="D1001">
        <v>108</v>
      </c>
      <c r="E1001" t="s">
        <v>1447</v>
      </c>
      <c r="F1001" t="s">
        <v>2087</v>
      </c>
      <c r="G1001" t="s">
        <v>1811</v>
      </c>
      <c r="H1001" t="s">
        <v>1799</v>
      </c>
      <c r="I1001">
        <v>1</v>
      </c>
      <c r="J1001" t="s">
        <v>1799</v>
      </c>
      <c r="K1001" t="s">
        <v>1799</v>
      </c>
      <c r="L1001" t="s">
        <v>1799</v>
      </c>
      <c r="M1001" t="s">
        <v>1799</v>
      </c>
      <c r="N1001" t="s">
        <v>1799</v>
      </c>
      <c r="O1001" s="184" t="str">
        <f>"["&amp;$C1001&amp;"]["&amp;$D1001&amp;"]["&amp;$F1001&amp;"]"</f>
        <v>[S05_DefaultValues][108][InstallationNumber]</v>
      </c>
    </row>
    <row r="1002" spans="1:15" x14ac:dyDescent="0.3">
      <c r="A1002" t="s">
        <v>1793</v>
      </c>
      <c r="B1002" t="s">
        <v>1950</v>
      </c>
      <c r="C1002" t="s">
        <v>1959</v>
      </c>
      <c r="D1002">
        <v>109</v>
      </c>
      <c r="E1002" t="s">
        <v>1447</v>
      </c>
      <c r="F1002" t="s">
        <v>2087</v>
      </c>
      <c r="G1002" t="s">
        <v>1811</v>
      </c>
      <c r="H1002" t="s">
        <v>1799</v>
      </c>
      <c r="I1002">
        <v>3</v>
      </c>
      <c r="J1002" t="s">
        <v>1799</v>
      </c>
      <c r="K1002" t="s">
        <v>1799</v>
      </c>
      <c r="L1002" t="s">
        <v>1799</v>
      </c>
      <c r="M1002" t="s">
        <v>1799</v>
      </c>
      <c r="N1002" t="s">
        <v>1799</v>
      </c>
      <c r="O1002" s="184" t="str">
        <f>"["&amp;$C1002&amp;"]["&amp;$D1002&amp;"]["&amp;$F1002&amp;"]"</f>
        <v>[S05_DefaultValues][109][InstallationNumber]</v>
      </c>
    </row>
    <row r="1003" spans="1:15" x14ac:dyDescent="0.3">
      <c r="A1003" t="s">
        <v>1793</v>
      </c>
      <c r="B1003" t="s">
        <v>1950</v>
      </c>
      <c r="C1003" t="s">
        <v>1959</v>
      </c>
      <c r="D1003">
        <v>110</v>
      </c>
      <c r="E1003" t="s">
        <v>1447</v>
      </c>
      <c r="F1003" t="s">
        <v>2087</v>
      </c>
      <c r="G1003" t="s">
        <v>1811</v>
      </c>
      <c r="H1003" t="s">
        <v>1799</v>
      </c>
      <c r="I1003">
        <v>2</v>
      </c>
      <c r="J1003" t="s">
        <v>1799</v>
      </c>
      <c r="K1003" t="s">
        <v>1799</v>
      </c>
      <c r="L1003" t="s">
        <v>1799</v>
      </c>
      <c r="M1003" t="s">
        <v>1799</v>
      </c>
      <c r="N1003" t="s">
        <v>1799</v>
      </c>
      <c r="O1003" s="184" t="str">
        <f>"["&amp;$C1003&amp;"]["&amp;$D1003&amp;"]["&amp;$F1003&amp;"]"</f>
        <v>[S05_DefaultValues][110][InstallationNumber]</v>
      </c>
    </row>
    <row r="1004" spans="1:15" x14ac:dyDescent="0.3">
      <c r="A1004" t="s">
        <v>1793</v>
      </c>
      <c r="B1004" t="s">
        <v>1950</v>
      </c>
      <c r="C1004" t="s">
        <v>1959</v>
      </c>
      <c r="D1004">
        <v>111</v>
      </c>
      <c r="E1004" t="s">
        <v>1447</v>
      </c>
      <c r="F1004" t="s">
        <v>2087</v>
      </c>
      <c r="G1004" t="s">
        <v>1811</v>
      </c>
      <c r="H1004" t="s">
        <v>1799</v>
      </c>
      <c r="I1004">
        <v>1</v>
      </c>
      <c r="J1004" t="s">
        <v>1799</v>
      </c>
      <c r="K1004" t="s">
        <v>1799</v>
      </c>
      <c r="L1004" t="s">
        <v>1799</v>
      </c>
      <c r="M1004" t="s">
        <v>1799</v>
      </c>
      <c r="N1004" t="s">
        <v>1799</v>
      </c>
      <c r="O1004" s="184" t="str">
        <f>"["&amp;$C1004&amp;"]["&amp;$D1004&amp;"]["&amp;$F1004&amp;"]"</f>
        <v>[S05_DefaultValues][111][InstallationNumber]</v>
      </c>
    </row>
    <row r="1005" spans="1:15" x14ac:dyDescent="0.3">
      <c r="A1005" t="s">
        <v>1793</v>
      </c>
      <c r="B1005" t="s">
        <v>1950</v>
      </c>
      <c r="C1005" t="s">
        <v>1959</v>
      </c>
      <c r="D1005">
        <v>112</v>
      </c>
      <c r="E1005" t="s">
        <v>1447</v>
      </c>
      <c r="F1005" t="s">
        <v>2087</v>
      </c>
      <c r="G1005" t="s">
        <v>1811</v>
      </c>
      <c r="H1005" t="s">
        <v>1799</v>
      </c>
      <c r="I1005">
        <v>5</v>
      </c>
      <c r="J1005" t="s">
        <v>1799</v>
      </c>
      <c r="K1005" t="s">
        <v>1799</v>
      </c>
      <c r="L1005" t="s">
        <v>1799</v>
      </c>
      <c r="M1005" t="s">
        <v>1799</v>
      </c>
      <c r="N1005" t="s">
        <v>1799</v>
      </c>
      <c r="O1005" s="184" t="str">
        <f>"["&amp;$C1005&amp;"]["&amp;$D1005&amp;"]["&amp;$F1005&amp;"]"</f>
        <v>[S05_DefaultValues][112][InstallationNumber]</v>
      </c>
    </row>
    <row r="1006" spans="1:15" x14ac:dyDescent="0.3">
      <c r="A1006" t="s">
        <v>1793</v>
      </c>
      <c r="B1006" t="s">
        <v>1950</v>
      </c>
      <c r="C1006" t="s">
        <v>1959</v>
      </c>
      <c r="D1006">
        <v>113</v>
      </c>
      <c r="E1006" t="s">
        <v>1447</v>
      </c>
      <c r="F1006" t="s">
        <v>2087</v>
      </c>
      <c r="G1006" t="s">
        <v>1811</v>
      </c>
      <c r="H1006" t="s">
        <v>1799</v>
      </c>
      <c r="I1006">
        <v>2</v>
      </c>
      <c r="J1006" t="s">
        <v>1799</v>
      </c>
      <c r="K1006" t="s">
        <v>1799</v>
      </c>
      <c r="L1006" t="s">
        <v>1799</v>
      </c>
      <c r="M1006" t="s">
        <v>1799</v>
      </c>
      <c r="N1006" t="s">
        <v>1799</v>
      </c>
      <c r="O1006" s="184" t="str">
        <f>"["&amp;$C1006&amp;"]["&amp;$D1006&amp;"]["&amp;$F1006&amp;"]"</f>
        <v>[S05_DefaultValues][113][InstallationNumber]</v>
      </c>
    </row>
    <row r="1007" spans="1:15" x14ac:dyDescent="0.3">
      <c r="A1007" t="s">
        <v>1793</v>
      </c>
      <c r="B1007" t="s">
        <v>1950</v>
      </c>
      <c r="C1007" t="s">
        <v>1959</v>
      </c>
      <c r="D1007">
        <v>114</v>
      </c>
      <c r="E1007" t="s">
        <v>1447</v>
      </c>
      <c r="F1007" t="s">
        <v>2087</v>
      </c>
      <c r="G1007" t="s">
        <v>1811</v>
      </c>
      <c r="H1007" t="s">
        <v>1799</v>
      </c>
      <c r="I1007">
        <v>2</v>
      </c>
      <c r="J1007" t="s">
        <v>1799</v>
      </c>
      <c r="K1007" t="s">
        <v>1799</v>
      </c>
      <c r="L1007" t="s">
        <v>1799</v>
      </c>
      <c r="M1007" t="s">
        <v>1799</v>
      </c>
      <c r="N1007" t="s">
        <v>1799</v>
      </c>
      <c r="O1007" s="184" t="str">
        <f>"["&amp;$C1007&amp;"]["&amp;$D1007&amp;"]["&amp;$F1007&amp;"]"</f>
        <v>[S05_DefaultValues][114][InstallationNumber]</v>
      </c>
    </row>
    <row r="1008" spans="1:15" x14ac:dyDescent="0.3">
      <c r="A1008" t="s">
        <v>1793</v>
      </c>
      <c r="B1008" t="s">
        <v>1950</v>
      </c>
      <c r="C1008" t="s">
        <v>1959</v>
      </c>
      <c r="D1008">
        <v>115</v>
      </c>
      <c r="E1008" t="s">
        <v>1447</v>
      </c>
      <c r="F1008" t="s">
        <v>2087</v>
      </c>
      <c r="G1008" t="s">
        <v>1811</v>
      </c>
      <c r="H1008" t="s">
        <v>1799</v>
      </c>
      <c r="I1008">
        <v>1</v>
      </c>
      <c r="J1008" t="s">
        <v>1799</v>
      </c>
      <c r="K1008" t="s">
        <v>1799</v>
      </c>
      <c r="L1008" t="s">
        <v>1799</v>
      </c>
      <c r="M1008" t="s">
        <v>1799</v>
      </c>
      <c r="N1008" t="s">
        <v>1799</v>
      </c>
      <c r="O1008" s="184" t="str">
        <f>"["&amp;$C1008&amp;"]["&amp;$D1008&amp;"]["&amp;$F1008&amp;"]"</f>
        <v>[S05_DefaultValues][115][InstallationNumber]</v>
      </c>
    </row>
    <row r="1009" spans="1:15" x14ac:dyDescent="0.3">
      <c r="A1009" t="s">
        <v>1793</v>
      </c>
      <c r="B1009" t="s">
        <v>1950</v>
      </c>
      <c r="C1009" t="s">
        <v>1959</v>
      </c>
      <c r="D1009">
        <v>116</v>
      </c>
      <c r="E1009" t="s">
        <v>1447</v>
      </c>
      <c r="F1009" t="s">
        <v>2087</v>
      </c>
      <c r="G1009" t="s">
        <v>1811</v>
      </c>
      <c r="H1009" t="s">
        <v>1799</v>
      </c>
      <c r="I1009">
        <v>12</v>
      </c>
      <c r="J1009" t="s">
        <v>1799</v>
      </c>
      <c r="K1009" t="s">
        <v>1799</v>
      </c>
      <c r="L1009" t="s">
        <v>1799</v>
      </c>
      <c r="M1009" t="s">
        <v>1799</v>
      </c>
      <c r="N1009" t="s">
        <v>1799</v>
      </c>
      <c r="O1009" s="184" t="str">
        <f>"["&amp;$C1009&amp;"]["&amp;$D1009&amp;"]["&amp;$F1009&amp;"]"</f>
        <v>[S05_DefaultValues][116][InstallationNumber]</v>
      </c>
    </row>
    <row r="1010" spans="1:15" x14ac:dyDescent="0.3">
      <c r="A1010" t="s">
        <v>1793</v>
      </c>
      <c r="B1010" t="s">
        <v>1950</v>
      </c>
      <c r="C1010" t="s">
        <v>1959</v>
      </c>
      <c r="D1010">
        <v>117</v>
      </c>
      <c r="E1010" t="s">
        <v>1447</v>
      </c>
      <c r="F1010" t="s">
        <v>2087</v>
      </c>
      <c r="G1010" t="s">
        <v>1811</v>
      </c>
      <c r="H1010" t="s">
        <v>1799</v>
      </c>
      <c r="I1010">
        <v>13</v>
      </c>
      <c r="J1010" t="s">
        <v>1799</v>
      </c>
      <c r="K1010" t="s">
        <v>1799</v>
      </c>
      <c r="L1010" t="s">
        <v>1799</v>
      </c>
      <c r="M1010" t="s">
        <v>1799</v>
      </c>
      <c r="N1010" t="s">
        <v>1799</v>
      </c>
      <c r="O1010" s="184" t="str">
        <f>"["&amp;$C1010&amp;"]["&amp;$D1010&amp;"]["&amp;$F1010&amp;"]"</f>
        <v>[S05_DefaultValues][117][InstallationNumber]</v>
      </c>
    </row>
    <row r="1011" spans="1:15" x14ac:dyDescent="0.3">
      <c r="A1011" t="s">
        <v>1793</v>
      </c>
      <c r="B1011" t="s">
        <v>1950</v>
      </c>
      <c r="C1011" t="s">
        <v>1959</v>
      </c>
      <c r="D1011">
        <v>118</v>
      </c>
      <c r="E1011" t="s">
        <v>1447</v>
      </c>
      <c r="F1011" t="s">
        <v>2087</v>
      </c>
      <c r="G1011" t="s">
        <v>1811</v>
      </c>
      <c r="H1011" t="s">
        <v>1799</v>
      </c>
      <c r="I1011">
        <v>119</v>
      </c>
      <c r="J1011" t="s">
        <v>1799</v>
      </c>
      <c r="K1011" t="s">
        <v>1799</v>
      </c>
      <c r="L1011" t="s">
        <v>1799</v>
      </c>
      <c r="M1011" t="s">
        <v>1799</v>
      </c>
      <c r="N1011" t="s">
        <v>1799</v>
      </c>
      <c r="O1011" s="184" t="str">
        <f>"["&amp;$C1011&amp;"]["&amp;$D1011&amp;"]["&amp;$F1011&amp;"]"</f>
        <v>[S05_DefaultValues][118][InstallationNumber]</v>
      </c>
    </row>
    <row r="1012" spans="1:15" x14ac:dyDescent="0.3">
      <c r="A1012" t="s">
        <v>1793</v>
      </c>
      <c r="B1012" t="s">
        <v>1950</v>
      </c>
      <c r="C1012" t="s">
        <v>1959</v>
      </c>
      <c r="D1012">
        <v>119</v>
      </c>
      <c r="E1012" t="s">
        <v>1447</v>
      </c>
      <c r="F1012" t="s">
        <v>2087</v>
      </c>
      <c r="G1012" t="s">
        <v>1811</v>
      </c>
      <c r="H1012" t="s">
        <v>1799</v>
      </c>
      <c r="I1012">
        <v>10</v>
      </c>
      <c r="J1012" t="s">
        <v>1799</v>
      </c>
      <c r="K1012" t="s">
        <v>1799</v>
      </c>
      <c r="L1012" t="s">
        <v>1799</v>
      </c>
      <c r="M1012" t="s">
        <v>1799</v>
      </c>
      <c r="N1012" t="s">
        <v>1799</v>
      </c>
      <c r="O1012" s="184" t="str">
        <f>"["&amp;$C1012&amp;"]["&amp;$D1012&amp;"]["&amp;$F1012&amp;"]"</f>
        <v>[S05_DefaultValues][119][InstallationNumber]</v>
      </c>
    </row>
    <row r="1013" spans="1:15" x14ac:dyDescent="0.3">
      <c r="A1013" t="s">
        <v>1793</v>
      </c>
      <c r="B1013" t="s">
        <v>1950</v>
      </c>
      <c r="C1013" t="s">
        <v>1959</v>
      </c>
      <c r="D1013">
        <v>120</v>
      </c>
      <c r="E1013" t="s">
        <v>1447</v>
      </c>
      <c r="F1013" t="s">
        <v>2087</v>
      </c>
      <c r="G1013" t="s">
        <v>1811</v>
      </c>
      <c r="H1013" t="s">
        <v>1799</v>
      </c>
      <c r="I1013">
        <v>2</v>
      </c>
      <c r="J1013" t="s">
        <v>1799</v>
      </c>
      <c r="K1013" t="s">
        <v>1799</v>
      </c>
      <c r="L1013" t="s">
        <v>1799</v>
      </c>
      <c r="M1013" t="s">
        <v>1799</v>
      </c>
      <c r="N1013" t="s">
        <v>1799</v>
      </c>
      <c r="O1013" s="184" t="str">
        <f>"["&amp;$C1013&amp;"]["&amp;$D1013&amp;"]["&amp;$F1013&amp;"]"</f>
        <v>[S05_DefaultValues][120][InstallationNumber]</v>
      </c>
    </row>
    <row r="1014" spans="1:15" x14ac:dyDescent="0.3">
      <c r="A1014" t="s">
        <v>1793</v>
      </c>
      <c r="B1014" t="s">
        <v>1950</v>
      </c>
      <c r="C1014" t="s">
        <v>1959</v>
      </c>
      <c r="D1014">
        <v>121</v>
      </c>
      <c r="E1014" t="s">
        <v>1447</v>
      </c>
      <c r="F1014" t="s">
        <v>2087</v>
      </c>
      <c r="G1014" t="s">
        <v>1811</v>
      </c>
      <c r="H1014" t="s">
        <v>1799</v>
      </c>
      <c r="I1014">
        <v>2</v>
      </c>
      <c r="J1014" t="s">
        <v>1799</v>
      </c>
      <c r="K1014" t="s">
        <v>1799</v>
      </c>
      <c r="L1014" t="s">
        <v>1799</v>
      </c>
      <c r="M1014" t="s">
        <v>1799</v>
      </c>
      <c r="N1014" t="s">
        <v>1799</v>
      </c>
      <c r="O1014" s="184" t="str">
        <f>"["&amp;$C1014&amp;"]["&amp;$D1014&amp;"]["&amp;$F1014&amp;"]"</f>
        <v>[S05_DefaultValues][121][InstallationNumber]</v>
      </c>
    </row>
    <row r="1015" spans="1:15" x14ac:dyDescent="0.3">
      <c r="A1015" t="s">
        <v>1793</v>
      </c>
      <c r="B1015" t="s">
        <v>1950</v>
      </c>
      <c r="C1015" t="s">
        <v>1959</v>
      </c>
      <c r="D1015">
        <v>122</v>
      </c>
      <c r="E1015" t="s">
        <v>1447</v>
      </c>
      <c r="F1015" t="s">
        <v>2087</v>
      </c>
      <c r="G1015" t="s">
        <v>1811</v>
      </c>
      <c r="H1015" t="s">
        <v>1799</v>
      </c>
      <c r="I1015">
        <v>1</v>
      </c>
      <c r="J1015" t="s">
        <v>1799</v>
      </c>
      <c r="K1015" t="s">
        <v>1799</v>
      </c>
      <c r="L1015" t="s">
        <v>1799</v>
      </c>
      <c r="M1015" t="s">
        <v>1799</v>
      </c>
      <c r="N1015" t="s">
        <v>1799</v>
      </c>
      <c r="O1015" s="184" t="str">
        <f>"["&amp;$C1015&amp;"]["&amp;$D1015&amp;"]["&amp;$F1015&amp;"]"</f>
        <v>[S05_DefaultValues][122][InstallationNumber]</v>
      </c>
    </row>
    <row r="1016" spans="1:15" x14ac:dyDescent="0.3">
      <c r="A1016" t="s">
        <v>1793</v>
      </c>
      <c r="B1016" t="s">
        <v>1950</v>
      </c>
      <c r="C1016" t="s">
        <v>1959</v>
      </c>
      <c r="D1016">
        <v>123</v>
      </c>
      <c r="E1016" t="s">
        <v>1447</v>
      </c>
      <c r="F1016" t="s">
        <v>2087</v>
      </c>
      <c r="G1016" t="s">
        <v>1811</v>
      </c>
      <c r="H1016" t="s">
        <v>1799</v>
      </c>
      <c r="I1016">
        <v>11</v>
      </c>
      <c r="J1016" t="s">
        <v>1799</v>
      </c>
      <c r="K1016" t="s">
        <v>1799</v>
      </c>
      <c r="L1016" t="s">
        <v>1799</v>
      </c>
      <c r="M1016" t="s">
        <v>1799</v>
      </c>
      <c r="N1016" t="s">
        <v>1799</v>
      </c>
      <c r="O1016" s="184" t="str">
        <f>"["&amp;$C1016&amp;"]["&amp;$D1016&amp;"]["&amp;$F1016&amp;"]"</f>
        <v>[S05_DefaultValues][123][InstallationNumber]</v>
      </c>
    </row>
    <row r="1017" spans="1:15" x14ac:dyDescent="0.3">
      <c r="A1017" t="s">
        <v>1793</v>
      </c>
      <c r="B1017" t="s">
        <v>1950</v>
      </c>
      <c r="C1017" t="s">
        <v>1959</v>
      </c>
      <c r="D1017">
        <v>124</v>
      </c>
      <c r="E1017" t="s">
        <v>1447</v>
      </c>
      <c r="F1017" t="s">
        <v>2087</v>
      </c>
      <c r="G1017" t="s">
        <v>1811</v>
      </c>
      <c r="H1017" t="s">
        <v>1799</v>
      </c>
      <c r="I1017">
        <v>1</v>
      </c>
      <c r="J1017" t="s">
        <v>1799</v>
      </c>
      <c r="K1017" t="s">
        <v>1799</v>
      </c>
      <c r="L1017" t="s">
        <v>1799</v>
      </c>
      <c r="M1017" t="s">
        <v>1799</v>
      </c>
      <c r="N1017" t="s">
        <v>1799</v>
      </c>
      <c r="O1017" s="184" t="str">
        <f>"["&amp;$C1017&amp;"]["&amp;$D1017&amp;"]["&amp;$F1017&amp;"]"</f>
        <v>[S05_DefaultValues][124][InstallationNumber]</v>
      </c>
    </row>
    <row r="1018" spans="1:15" x14ac:dyDescent="0.3">
      <c r="A1018" t="s">
        <v>1793</v>
      </c>
      <c r="B1018" t="s">
        <v>1950</v>
      </c>
      <c r="C1018" t="s">
        <v>1959</v>
      </c>
      <c r="D1018">
        <v>125</v>
      </c>
      <c r="E1018" t="s">
        <v>1447</v>
      </c>
      <c r="F1018" t="s">
        <v>2087</v>
      </c>
      <c r="G1018" t="s">
        <v>1811</v>
      </c>
      <c r="H1018" t="s">
        <v>1799</v>
      </c>
      <c r="I1018">
        <v>3</v>
      </c>
      <c r="J1018" t="s">
        <v>1799</v>
      </c>
      <c r="K1018" t="s">
        <v>1799</v>
      </c>
      <c r="L1018" t="s">
        <v>1799</v>
      </c>
      <c r="M1018" t="s">
        <v>1799</v>
      </c>
      <c r="N1018" t="s">
        <v>1799</v>
      </c>
      <c r="O1018" s="184" t="str">
        <f>"["&amp;$C1018&amp;"]["&amp;$D1018&amp;"]["&amp;$F1018&amp;"]"</f>
        <v>[S05_DefaultValues][125][InstallationNumber]</v>
      </c>
    </row>
    <row r="1019" spans="1:15" x14ac:dyDescent="0.3">
      <c r="A1019" t="s">
        <v>1793</v>
      </c>
      <c r="B1019" t="s">
        <v>1950</v>
      </c>
      <c r="C1019" t="s">
        <v>1959</v>
      </c>
      <c r="D1019">
        <v>126</v>
      </c>
      <c r="E1019" t="s">
        <v>1447</v>
      </c>
      <c r="F1019" t="s">
        <v>2087</v>
      </c>
      <c r="G1019" t="s">
        <v>1811</v>
      </c>
      <c r="H1019" t="s">
        <v>1799</v>
      </c>
      <c r="I1019">
        <v>2</v>
      </c>
      <c r="J1019" t="s">
        <v>1799</v>
      </c>
      <c r="K1019" t="s">
        <v>1799</v>
      </c>
      <c r="L1019" t="s">
        <v>1799</v>
      </c>
      <c r="M1019" t="s">
        <v>1799</v>
      </c>
      <c r="N1019" t="s">
        <v>1799</v>
      </c>
      <c r="O1019" s="184" t="str">
        <f>"["&amp;$C1019&amp;"]["&amp;$D1019&amp;"]["&amp;$F1019&amp;"]"</f>
        <v>[S05_DefaultValues][126][InstallationNumber]</v>
      </c>
    </row>
    <row r="1020" spans="1:15" x14ac:dyDescent="0.3">
      <c r="A1020" t="s">
        <v>1793</v>
      </c>
      <c r="B1020" t="s">
        <v>1950</v>
      </c>
      <c r="C1020" t="s">
        <v>1959</v>
      </c>
      <c r="D1020">
        <v>127</v>
      </c>
      <c r="E1020" t="s">
        <v>1447</v>
      </c>
      <c r="F1020" t="s">
        <v>2087</v>
      </c>
      <c r="G1020" t="s">
        <v>1811</v>
      </c>
      <c r="H1020" t="s">
        <v>1799</v>
      </c>
      <c r="I1020">
        <v>1</v>
      </c>
      <c r="J1020" t="s">
        <v>1799</v>
      </c>
      <c r="K1020" t="s">
        <v>1799</v>
      </c>
      <c r="L1020" t="s">
        <v>1799</v>
      </c>
      <c r="M1020" t="s">
        <v>1799</v>
      </c>
      <c r="N1020" t="s">
        <v>1799</v>
      </c>
      <c r="O1020" s="184" t="str">
        <f>"["&amp;$C1020&amp;"]["&amp;$D1020&amp;"]["&amp;$F1020&amp;"]"</f>
        <v>[S05_DefaultValues][127][InstallationNumber]</v>
      </c>
    </row>
    <row r="1021" spans="1:15" x14ac:dyDescent="0.3">
      <c r="A1021" t="s">
        <v>1793</v>
      </c>
      <c r="B1021" t="s">
        <v>1950</v>
      </c>
      <c r="C1021" t="s">
        <v>1959</v>
      </c>
      <c r="D1021">
        <v>128</v>
      </c>
      <c r="E1021" t="s">
        <v>1447</v>
      </c>
      <c r="F1021" t="s">
        <v>2087</v>
      </c>
      <c r="G1021" t="s">
        <v>1811</v>
      </c>
      <c r="H1021" t="s">
        <v>1799</v>
      </c>
      <c r="I1021">
        <v>2</v>
      </c>
      <c r="J1021" t="s">
        <v>1799</v>
      </c>
      <c r="K1021" t="s">
        <v>1799</v>
      </c>
      <c r="L1021" t="s">
        <v>1799</v>
      </c>
      <c r="M1021" t="s">
        <v>1799</v>
      </c>
      <c r="N1021" t="s">
        <v>1799</v>
      </c>
      <c r="O1021" s="184" t="str">
        <f>"["&amp;$C1021&amp;"]["&amp;$D1021&amp;"]["&amp;$F1021&amp;"]"</f>
        <v>[S05_DefaultValues][128][InstallationNumber]</v>
      </c>
    </row>
    <row r="1022" spans="1:15" x14ac:dyDescent="0.3">
      <c r="A1022" t="s">
        <v>1793</v>
      </c>
      <c r="B1022" t="s">
        <v>1950</v>
      </c>
      <c r="C1022" t="s">
        <v>1959</v>
      </c>
      <c r="D1022">
        <v>129</v>
      </c>
      <c r="E1022" t="s">
        <v>1447</v>
      </c>
      <c r="F1022" t="s">
        <v>2087</v>
      </c>
      <c r="G1022" t="s">
        <v>1811</v>
      </c>
      <c r="H1022" t="s">
        <v>1799</v>
      </c>
      <c r="I1022">
        <v>2</v>
      </c>
      <c r="J1022" t="s">
        <v>1799</v>
      </c>
      <c r="K1022" t="s">
        <v>1799</v>
      </c>
      <c r="L1022" t="s">
        <v>1799</v>
      </c>
      <c r="M1022" t="s">
        <v>1799</v>
      </c>
      <c r="N1022" t="s">
        <v>1799</v>
      </c>
      <c r="O1022" s="184" t="str">
        <f>"["&amp;$C1022&amp;"]["&amp;$D1022&amp;"]["&amp;$F1022&amp;"]"</f>
        <v>[S05_DefaultValues][129][InstallationNumber]</v>
      </c>
    </row>
    <row r="1023" spans="1:15" x14ac:dyDescent="0.3">
      <c r="A1023" t="s">
        <v>1793</v>
      </c>
      <c r="B1023" t="s">
        <v>1950</v>
      </c>
      <c r="C1023" t="s">
        <v>1959</v>
      </c>
      <c r="D1023">
        <v>130</v>
      </c>
      <c r="E1023" t="s">
        <v>1447</v>
      </c>
      <c r="F1023" t="s">
        <v>2087</v>
      </c>
      <c r="G1023" t="s">
        <v>1811</v>
      </c>
      <c r="H1023" t="s">
        <v>1799</v>
      </c>
      <c r="I1023">
        <v>1</v>
      </c>
      <c r="J1023" t="s">
        <v>1799</v>
      </c>
      <c r="K1023" t="s">
        <v>1799</v>
      </c>
      <c r="L1023" t="s">
        <v>1799</v>
      </c>
      <c r="M1023" t="s">
        <v>1799</v>
      </c>
      <c r="N1023" t="s">
        <v>1799</v>
      </c>
      <c r="O1023" s="184" t="str">
        <f>"["&amp;$C1023&amp;"]["&amp;$D1023&amp;"]["&amp;$F1023&amp;"]"</f>
        <v>[S05_DefaultValues][130][InstallationNumber]</v>
      </c>
    </row>
    <row r="1024" spans="1:15" x14ac:dyDescent="0.3">
      <c r="A1024" t="s">
        <v>1793</v>
      </c>
      <c r="B1024" t="s">
        <v>1950</v>
      </c>
      <c r="C1024" t="s">
        <v>1959</v>
      </c>
      <c r="D1024">
        <v>131</v>
      </c>
      <c r="E1024" t="s">
        <v>1447</v>
      </c>
      <c r="F1024" t="s">
        <v>2087</v>
      </c>
      <c r="G1024" t="s">
        <v>1811</v>
      </c>
      <c r="H1024" t="s">
        <v>1799</v>
      </c>
      <c r="I1024">
        <v>17</v>
      </c>
      <c r="J1024" t="s">
        <v>1799</v>
      </c>
      <c r="K1024" t="s">
        <v>1799</v>
      </c>
      <c r="L1024" t="s">
        <v>1799</v>
      </c>
      <c r="M1024" t="s">
        <v>1799</v>
      </c>
      <c r="N1024" t="s">
        <v>1799</v>
      </c>
      <c r="O1024" s="184" t="str">
        <f>"["&amp;$C1024&amp;"]["&amp;$D1024&amp;"]["&amp;$F1024&amp;"]"</f>
        <v>[S05_DefaultValues][131][InstallationNumber]</v>
      </c>
    </row>
    <row r="1025" spans="1:15" x14ac:dyDescent="0.3">
      <c r="A1025" t="s">
        <v>1793</v>
      </c>
      <c r="B1025" t="s">
        <v>1950</v>
      </c>
      <c r="C1025" t="s">
        <v>1959</v>
      </c>
      <c r="D1025">
        <v>132</v>
      </c>
      <c r="E1025" t="s">
        <v>1447</v>
      </c>
      <c r="F1025" t="s">
        <v>2087</v>
      </c>
      <c r="G1025" t="s">
        <v>1811</v>
      </c>
      <c r="H1025" t="s">
        <v>1799</v>
      </c>
      <c r="I1025">
        <v>5</v>
      </c>
      <c r="J1025" t="s">
        <v>1799</v>
      </c>
      <c r="K1025" t="s">
        <v>1799</v>
      </c>
      <c r="L1025" t="s">
        <v>1799</v>
      </c>
      <c r="M1025" t="s">
        <v>1799</v>
      </c>
      <c r="N1025" t="s">
        <v>1799</v>
      </c>
      <c r="O1025" s="184" t="str">
        <f>"["&amp;$C1025&amp;"]["&amp;$D1025&amp;"]["&amp;$F1025&amp;"]"</f>
        <v>[S05_DefaultValues][132][InstallationNumber]</v>
      </c>
    </row>
    <row r="1026" spans="1:15" x14ac:dyDescent="0.3">
      <c r="A1026" t="s">
        <v>1793</v>
      </c>
      <c r="B1026" t="s">
        <v>1950</v>
      </c>
      <c r="C1026" t="s">
        <v>1959</v>
      </c>
      <c r="D1026">
        <v>133</v>
      </c>
      <c r="E1026" t="s">
        <v>1447</v>
      </c>
      <c r="F1026" t="s">
        <v>2087</v>
      </c>
      <c r="G1026" t="s">
        <v>1811</v>
      </c>
      <c r="H1026" t="s">
        <v>1799</v>
      </c>
      <c r="I1026">
        <v>1</v>
      </c>
      <c r="J1026" t="s">
        <v>1799</v>
      </c>
      <c r="K1026" t="s">
        <v>1799</v>
      </c>
      <c r="L1026" t="s">
        <v>1799</v>
      </c>
      <c r="M1026" t="s">
        <v>1799</v>
      </c>
      <c r="N1026" t="s">
        <v>1799</v>
      </c>
      <c r="O1026" s="184" t="str">
        <f>"["&amp;$C1026&amp;"]["&amp;$D1026&amp;"]["&amp;$F1026&amp;"]"</f>
        <v>[S05_DefaultValues][133][InstallationNumber]</v>
      </c>
    </row>
    <row r="1027" spans="1:15" x14ac:dyDescent="0.3">
      <c r="A1027" t="s">
        <v>1793</v>
      </c>
      <c r="B1027" t="s">
        <v>1950</v>
      </c>
      <c r="C1027" t="s">
        <v>1959</v>
      </c>
      <c r="D1027">
        <v>134</v>
      </c>
      <c r="E1027" t="s">
        <v>1447</v>
      </c>
      <c r="F1027" t="s">
        <v>2087</v>
      </c>
      <c r="G1027" t="s">
        <v>1811</v>
      </c>
      <c r="H1027" t="s">
        <v>1799</v>
      </c>
      <c r="I1027">
        <v>4</v>
      </c>
      <c r="J1027" t="s">
        <v>1799</v>
      </c>
      <c r="K1027" t="s">
        <v>1799</v>
      </c>
      <c r="L1027" t="s">
        <v>1799</v>
      </c>
      <c r="M1027" t="s">
        <v>1799</v>
      </c>
      <c r="N1027" t="s">
        <v>1799</v>
      </c>
      <c r="O1027" s="184" t="str">
        <f>"["&amp;$C1027&amp;"]["&amp;$D1027&amp;"]["&amp;$F1027&amp;"]"</f>
        <v>[S05_DefaultValues][134][InstallationNumber]</v>
      </c>
    </row>
    <row r="1028" spans="1:15" x14ac:dyDescent="0.3">
      <c r="A1028" t="s">
        <v>1793</v>
      </c>
      <c r="B1028" t="s">
        <v>1950</v>
      </c>
      <c r="C1028" t="s">
        <v>1959</v>
      </c>
      <c r="D1028">
        <v>135</v>
      </c>
      <c r="E1028" t="s">
        <v>1447</v>
      </c>
      <c r="F1028" t="s">
        <v>2087</v>
      </c>
      <c r="G1028" t="s">
        <v>1811</v>
      </c>
      <c r="H1028" t="s">
        <v>1799</v>
      </c>
      <c r="I1028">
        <v>9</v>
      </c>
      <c r="J1028" t="s">
        <v>1799</v>
      </c>
      <c r="K1028" t="s">
        <v>1799</v>
      </c>
      <c r="L1028" t="s">
        <v>1799</v>
      </c>
      <c r="M1028" t="s">
        <v>1799</v>
      </c>
      <c r="N1028" t="s">
        <v>1799</v>
      </c>
      <c r="O1028" s="184" t="str">
        <f>"["&amp;$C1028&amp;"]["&amp;$D1028&amp;"]["&amp;$F1028&amp;"]"</f>
        <v>[S05_DefaultValues][135][InstallationNumber]</v>
      </c>
    </row>
    <row r="1029" spans="1:15" x14ac:dyDescent="0.3">
      <c r="A1029" t="s">
        <v>1793</v>
      </c>
      <c r="B1029" t="s">
        <v>1950</v>
      </c>
      <c r="C1029" t="s">
        <v>1959</v>
      </c>
      <c r="D1029">
        <v>136</v>
      </c>
      <c r="E1029" t="s">
        <v>1447</v>
      </c>
      <c r="F1029" t="s">
        <v>2087</v>
      </c>
      <c r="G1029" t="s">
        <v>1811</v>
      </c>
      <c r="H1029" t="s">
        <v>1799</v>
      </c>
      <c r="I1029">
        <v>1</v>
      </c>
      <c r="J1029" t="s">
        <v>1799</v>
      </c>
      <c r="K1029" t="s">
        <v>1799</v>
      </c>
      <c r="L1029" t="s">
        <v>1799</v>
      </c>
      <c r="M1029" t="s">
        <v>1799</v>
      </c>
      <c r="N1029" t="s">
        <v>1799</v>
      </c>
      <c r="O1029" s="184" t="str">
        <f>"["&amp;$C1029&amp;"]["&amp;$D1029&amp;"]["&amp;$F1029&amp;"]"</f>
        <v>[S05_DefaultValues][136][InstallationNumber]</v>
      </c>
    </row>
    <row r="1030" spans="1:15" x14ac:dyDescent="0.3">
      <c r="A1030" t="s">
        <v>1793</v>
      </c>
      <c r="B1030" t="s">
        <v>1950</v>
      </c>
      <c r="C1030" t="s">
        <v>1959</v>
      </c>
      <c r="D1030">
        <v>137</v>
      </c>
      <c r="E1030" t="s">
        <v>1447</v>
      </c>
      <c r="F1030" t="s">
        <v>2087</v>
      </c>
      <c r="G1030" t="s">
        <v>1811</v>
      </c>
      <c r="H1030" t="s">
        <v>1799</v>
      </c>
      <c r="I1030">
        <v>1</v>
      </c>
      <c r="J1030" t="s">
        <v>1799</v>
      </c>
      <c r="K1030" t="s">
        <v>1799</v>
      </c>
      <c r="L1030" t="s">
        <v>1799</v>
      </c>
      <c r="M1030" t="s">
        <v>1799</v>
      </c>
      <c r="N1030" t="s">
        <v>1799</v>
      </c>
      <c r="O1030" s="184" t="str">
        <f>"["&amp;$C1030&amp;"]["&amp;$D1030&amp;"]["&amp;$F1030&amp;"]"</f>
        <v>[S05_DefaultValues][137][InstallationNumber]</v>
      </c>
    </row>
    <row r="1031" spans="1:15" x14ac:dyDescent="0.3">
      <c r="A1031" t="s">
        <v>1793</v>
      </c>
      <c r="B1031" t="s">
        <v>1950</v>
      </c>
      <c r="C1031" t="s">
        <v>1959</v>
      </c>
      <c r="D1031">
        <v>138</v>
      </c>
      <c r="E1031" t="s">
        <v>1447</v>
      </c>
      <c r="F1031" t="s">
        <v>2087</v>
      </c>
      <c r="G1031" t="s">
        <v>1811</v>
      </c>
      <c r="H1031" t="s">
        <v>1799</v>
      </c>
      <c r="I1031">
        <v>1</v>
      </c>
      <c r="J1031" t="s">
        <v>1799</v>
      </c>
      <c r="K1031" t="s">
        <v>1799</v>
      </c>
      <c r="L1031" t="s">
        <v>1799</v>
      </c>
      <c r="M1031" t="s">
        <v>1799</v>
      </c>
      <c r="N1031" t="s">
        <v>1799</v>
      </c>
      <c r="O1031" s="184" t="str">
        <f>"["&amp;$C1031&amp;"]["&amp;$D1031&amp;"]["&amp;$F1031&amp;"]"</f>
        <v>[S05_DefaultValues][138][InstallationNumber]</v>
      </c>
    </row>
    <row r="1032" spans="1:15" x14ac:dyDescent="0.3">
      <c r="A1032" t="s">
        <v>1793</v>
      </c>
      <c r="B1032" t="s">
        <v>1950</v>
      </c>
      <c r="C1032" t="s">
        <v>1959</v>
      </c>
      <c r="D1032">
        <v>139</v>
      </c>
      <c r="E1032" t="s">
        <v>1447</v>
      </c>
      <c r="F1032" t="s">
        <v>2087</v>
      </c>
      <c r="G1032" t="s">
        <v>1811</v>
      </c>
      <c r="H1032" t="s">
        <v>1799</v>
      </c>
      <c r="I1032">
        <v>1</v>
      </c>
      <c r="J1032" t="s">
        <v>1799</v>
      </c>
      <c r="K1032" t="s">
        <v>1799</v>
      </c>
      <c r="L1032" t="s">
        <v>1799</v>
      </c>
      <c r="M1032" t="s">
        <v>1799</v>
      </c>
      <c r="N1032" t="s">
        <v>1799</v>
      </c>
      <c r="O1032" s="184" t="str">
        <f>"["&amp;$C1032&amp;"]["&amp;$D1032&amp;"]["&amp;$F1032&amp;"]"</f>
        <v>[S05_DefaultValues][139][InstallationNumber]</v>
      </c>
    </row>
    <row r="1033" spans="1:15" x14ac:dyDescent="0.3">
      <c r="A1033" t="s">
        <v>1793</v>
      </c>
      <c r="B1033" t="s">
        <v>1950</v>
      </c>
      <c r="C1033" t="s">
        <v>1959</v>
      </c>
      <c r="D1033">
        <v>140</v>
      </c>
      <c r="E1033" t="s">
        <v>1447</v>
      </c>
      <c r="F1033" t="s">
        <v>2087</v>
      </c>
      <c r="G1033" t="s">
        <v>1811</v>
      </c>
      <c r="H1033" t="s">
        <v>1799</v>
      </c>
      <c r="I1033">
        <v>9</v>
      </c>
      <c r="J1033" t="s">
        <v>1799</v>
      </c>
      <c r="K1033" t="s">
        <v>1799</v>
      </c>
      <c r="L1033" t="s">
        <v>1799</v>
      </c>
      <c r="M1033" t="s">
        <v>1799</v>
      </c>
      <c r="N1033" t="s">
        <v>1799</v>
      </c>
      <c r="O1033" s="184" t="str">
        <f>"["&amp;$C1033&amp;"]["&amp;$D1033&amp;"]["&amp;$F1033&amp;"]"</f>
        <v>[S05_DefaultValues][140][InstallationNumber]</v>
      </c>
    </row>
    <row r="1034" spans="1:15" x14ac:dyDescent="0.3">
      <c r="A1034" t="s">
        <v>1793</v>
      </c>
      <c r="B1034" t="s">
        <v>1950</v>
      </c>
      <c r="C1034" t="s">
        <v>1959</v>
      </c>
      <c r="D1034">
        <v>141</v>
      </c>
      <c r="E1034" t="s">
        <v>1447</v>
      </c>
      <c r="F1034" t="s">
        <v>2087</v>
      </c>
      <c r="G1034" t="s">
        <v>1811</v>
      </c>
      <c r="H1034" t="s">
        <v>1799</v>
      </c>
      <c r="I1034">
        <v>1</v>
      </c>
      <c r="J1034" t="s">
        <v>1799</v>
      </c>
      <c r="K1034" t="s">
        <v>1799</v>
      </c>
      <c r="L1034" t="s">
        <v>1799</v>
      </c>
      <c r="M1034" t="s">
        <v>1799</v>
      </c>
      <c r="N1034" t="s">
        <v>1799</v>
      </c>
      <c r="O1034" s="184" t="str">
        <f>"["&amp;$C1034&amp;"]["&amp;$D1034&amp;"]["&amp;$F1034&amp;"]"</f>
        <v>[S05_DefaultValues][141][InstallationNumber]</v>
      </c>
    </row>
    <row r="1035" spans="1:15" x14ac:dyDescent="0.3">
      <c r="A1035" t="s">
        <v>1793</v>
      </c>
      <c r="B1035" t="s">
        <v>1950</v>
      </c>
      <c r="C1035" t="s">
        <v>1959</v>
      </c>
      <c r="D1035">
        <v>142</v>
      </c>
      <c r="E1035" t="s">
        <v>1447</v>
      </c>
      <c r="F1035" t="s">
        <v>2087</v>
      </c>
      <c r="G1035" t="s">
        <v>1811</v>
      </c>
      <c r="H1035" t="s">
        <v>1799</v>
      </c>
      <c r="I1035">
        <v>1</v>
      </c>
      <c r="J1035" t="s">
        <v>1799</v>
      </c>
      <c r="K1035" t="s">
        <v>1799</v>
      </c>
      <c r="L1035" t="s">
        <v>1799</v>
      </c>
      <c r="M1035" t="s">
        <v>1799</v>
      </c>
      <c r="N1035" t="s">
        <v>1799</v>
      </c>
      <c r="O1035" s="184" t="str">
        <f>"["&amp;$C1035&amp;"]["&amp;$D1035&amp;"]["&amp;$F1035&amp;"]"</f>
        <v>[S05_DefaultValues][142][InstallationNumber]</v>
      </c>
    </row>
    <row r="1036" spans="1:15" x14ac:dyDescent="0.3">
      <c r="A1036" t="s">
        <v>1793</v>
      </c>
      <c r="B1036" t="s">
        <v>1950</v>
      </c>
      <c r="C1036" t="s">
        <v>1959</v>
      </c>
      <c r="D1036">
        <v>143</v>
      </c>
      <c r="E1036" t="s">
        <v>1447</v>
      </c>
      <c r="F1036" t="s">
        <v>2087</v>
      </c>
      <c r="G1036" t="s">
        <v>1811</v>
      </c>
      <c r="H1036" t="s">
        <v>1799</v>
      </c>
      <c r="I1036">
        <v>6</v>
      </c>
      <c r="J1036" t="s">
        <v>1799</v>
      </c>
      <c r="K1036" t="s">
        <v>1799</v>
      </c>
      <c r="L1036" t="s">
        <v>1799</v>
      </c>
      <c r="M1036" t="s">
        <v>1799</v>
      </c>
      <c r="N1036" t="s">
        <v>1799</v>
      </c>
      <c r="O1036" s="184" t="str">
        <f>"["&amp;$C1036&amp;"]["&amp;$D1036&amp;"]["&amp;$F1036&amp;"]"</f>
        <v>[S05_DefaultValues][143][InstallationNumber]</v>
      </c>
    </row>
    <row r="1037" spans="1:15" x14ac:dyDescent="0.3">
      <c r="A1037" t="s">
        <v>1793</v>
      </c>
      <c r="B1037" t="s">
        <v>1950</v>
      </c>
      <c r="C1037" t="s">
        <v>1959</v>
      </c>
      <c r="D1037">
        <v>144</v>
      </c>
      <c r="E1037" t="s">
        <v>1447</v>
      </c>
      <c r="F1037" t="s">
        <v>2087</v>
      </c>
      <c r="G1037" t="s">
        <v>1811</v>
      </c>
      <c r="H1037" t="s">
        <v>1799</v>
      </c>
      <c r="I1037">
        <v>7</v>
      </c>
      <c r="J1037" t="s">
        <v>1799</v>
      </c>
      <c r="K1037" t="s">
        <v>1799</v>
      </c>
      <c r="L1037" t="s">
        <v>1799</v>
      </c>
      <c r="M1037" t="s">
        <v>1799</v>
      </c>
      <c r="N1037" t="s">
        <v>1799</v>
      </c>
      <c r="O1037" s="184" t="str">
        <f>"["&amp;$C1037&amp;"]["&amp;$D1037&amp;"]["&amp;$F1037&amp;"]"</f>
        <v>[S05_DefaultValues][144][InstallationNumber]</v>
      </c>
    </row>
    <row r="1038" spans="1:15" x14ac:dyDescent="0.3">
      <c r="A1038" t="s">
        <v>1793</v>
      </c>
      <c r="B1038" t="s">
        <v>1950</v>
      </c>
      <c r="C1038" t="s">
        <v>1959</v>
      </c>
      <c r="D1038">
        <v>145</v>
      </c>
      <c r="E1038" t="s">
        <v>1447</v>
      </c>
      <c r="F1038" t="s">
        <v>2087</v>
      </c>
      <c r="G1038" t="s">
        <v>1811</v>
      </c>
      <c r="H1038" t="s">
        <v>1799</v>
      </c>
      <c r="I1038">
        <v>1</v>
      </c>
      <c r="J1038" t="s">
        <v>1799</v>
      </c>
      <c r="K1038" t="s">
        <v>1799</v>
      </c>
      <c r="L1038" t="s">
        <v>1799</v>
      </c>
      <c r="M1038" t="s">
        <v>1799</v>
      </c>
      <c r="N1038" t="s">
        <v>1799</v>
      </c>
      <c r="O1038" s="184" t="str">
        <f>"["&amp;$C1038&amp;"]["&amp;$D1038&amp;"]["&amp;$F1038&amp;"]"</f>
        <v>[S05_DefaultValues][145][InstallationNumber]</v>
      </c>
    </row>
    <row r="1039" spans="1:15" x14ac:dyDescent="0.3">
      <c r="A1039" t="s">
        <v>1793</v>
      </c>
      <c r="B1039" t="s">
        <v>1950</v>
      </c>
      <c r="C1039" t="s">
        <v>1959</v>
      </c>
      <c r="D1039">
        <v>146</v>
      </c>
      <c r="E1039" t="s">
        <v>1447</v>
      </c>
      <c r="F1039" t="s">
        <v>2087</v>
      </c>
      <c r="G1039" t="s">
        <v>1811</v>
      </c>
      <c r="H1039" t="s">
        <v>1799</v>
      </c>
      <c r="I1039">
        <v>2</v>
      </c>
      <c r="J1039" t="s">
        <v>1799</v>
      </c>
      <c r="K1039" t="s">
        <v>1799</v>
      </c>
      <c r="L1039" t="s">
        <v>1799</v>
      </c>
      <c r="M1039" t="s">
        <v>1799</v>
      </c>
      <c r="N1039" t="s">
        <v>1799</v>
      </c>
      <c r="O1039" s="184" t="str">
        <f>"["&amp;$C1039&amp;"]["&amp;$D1039&amp;"]["&amp;$F1039&amp;"]"</f>
        <v>[S05_DefaultValues][146][InstallationNumber]</v>
      </c>
    </row>
    <row r="1040" spans="1:15" x14ac:dyDescent="0.3">
      <c r="A1040" t="s">
        <v>1793</v>
      </c>
      <c r="B1040" t="s">
        <v>1950</v>
      </c>
      <c r="C1040" t="s">
        <v>1959</v>
      </c>
      <c r="D1040">
        <v>147</v>
      </c>
      <c r="E1040" t="s">
        <v>1447</v>
      </c>
      <c r="F1040" t="s">
        <v>2087</v>
      </c>
      <c r="G1040" t="s">
        <v>1811</v>
      </c>
      <c r="H1040" t="s">
        <v>1799</v>
      </c>
      <c r="I1040">
        <v>1</v>
      </c>
      <c r="J1040" t="s">
        <v>1799</v>
      </c>
      <c r="K1040" t="s">
        <v>1799</v>
      </c>
      <c r="L1040" t="s">
        <v>1799</v>
      </c>
      <c r="M1040" t="s">
        <v>1799</v>
      </c>
      <c r="N1040" t="s">
        <v>1799</v>
      </c>
      <c r="O1040" s="184" t="str">
        <f>"["&amp;$C1040&amp;"]["&amp;$D1040&amp;"]["&amp;$F1040&amp;"]"</f>
        <v>[S05_DefaultValues][147][InstallationNumber]</v>
      </c>
    </row>
    <row r="1041" spans="1:15" x14ac:dyDescent="0.3">
      <c r="A1041" t="s">
        <v>1793</v>
      </c>
      <c r="B1041" t="s">
        <v>1950</v>
      </c>
      <c r="C1041" t="s">
        <v>1959</v>
      </c>
      <c r="D1041">
        <v>148</v>
      </c>
      <c r="E1041" t="s">
        <v>1447</v>
      </c>
      <c r="F1041" t="s">
        <v>2087</v>
      </c>
      <c r="G1041" t="s">
        <v>1811</v>
      </c>
      <c r="H1041" t="s">
        <v>1799</v>
      </c>
      <c r="I1041">
        <v>1</v>
      </c>
      <c r="J1041" t="s">
        <v>1799</v>
      </c>
      <c r="K1041" t="s">
        <v>1799</v>
      </c>
      <c r="L1041" t="s">
        <v>1799</v>
      </c>
      <c r="M1041" t="s">
        <v>1799</v>
      </c>
      <c r="N1041" t="s">
        <v>1799</v>
      </c>
      <c r="O1041" s="184" t="str">
        <f>"["&amp;$C1041&amp;"]["&amp;$D1041&amp;"]["&amp;$F1041&amp;"]"</f>
        <v>[S05_DefaultValues][148][InstallationNumber]</v>
      </c>
    </row>
    <row r="1042" spans="1:15" x14ac:dyDescent="0.3">
      <c r="A1042" t="s">
        <v>1793</v>
      </c>
      <c r="B1042" t="s">
        <v>1950</v>
      </c>
      <c r="C1042" t="s">
        <v>1959</v>
      </c>
      <c r="D1042">
        <v>149</v>
      </c>
      <c r="E1042" t="s">
        <v>1447</v>
      </c>
      <c r="F1042" t="s">
        <v>2087</v>
      </c>
      <c r="G1042" t="s">
        <v>1811</v>
      </c>
      <c r="H1042" t="s">
        <v>1799</v>
      </c>
      <c r="I1042">
        <v>2</v>
      </c>
      <c r="J1042" t="s">
        <v>1799</v>
      </c>
      <c r="K1042" t="s">
        <v>1799</v>
      </c>
      <c r="L1042" t="s">
        <v>1799</v>
      </c>
      <c r="M1042" t="s">
        <v>1799</v>
      </c>
      <c r="N1042" t="s">
        <v>1799</v>
      </c>
      <c r="O1042" s="184" t="str">
        <f>"["&amp;$C1042&amp;"]["&amp;$D1042&amp;"]["&amp;$F1042&amp;"]"</f>
        <v>[S05_DefaultValues][149][InstallationNumber]</v>
      </c>
    </row>
    <row r="1043" spans="1:15" x14ac:dyDescent="0.3">
      <c r="A1043" t="s">
        <v>1793</v>
      </c>
      <c r="B1043" t="s">
        <v>1950</v>
      </c>
      <c r="C1043" t="s">
        <v>1959</v>
      </c>
      <c r="D1043">
        <v>150</v>
      </c>
      <c r="E1043" t="s">
        <v>1447</v>
      </c>
      <c r="F1043" t="s">
        <v>2087</v>
      </c>
      <c r="G1043" t="s">
        <v>1811</v>
      </c>
      <c r="H1043" t="s">
        <v>1799</v>
      </c>
      <c r="I1043">
        <v>1</v>
      </c>
      <c r="J1043" t="s">
        <v>1799</v>
      </c>
      <c r="K1043" t="s">
        <v>1799</v>
      </c>
      <c r="L1043" t="s">
        <v>1799</v>
      </c>
      <c r="M1043" t="s">
        <v>1799</v>
      </c>
      <c r="N1043" t="s">
        <v>1799</v>
      </c>
      <c r="O1043" s="184" t="str">
        <f>"["&amp;$C1043&amp;"]["&amp;$D1043&amp;"]["&amp;$F1043&amp;"]"</f>
        <v>[S05_DefaultValues][150][InstallationNumber]</v>
      </c>
    </row>
    <row r="1044" spans="1:15" x14ac:dyDescent="0.3">
      <c r="A1044" t="s">
        <v>1793</v>
      </c>
      <c r="B1044" t="s">
        <v>1950</v>
      </c>
      <c r="C1044" t="s">
        <v>1959</v>
      </c>
      <c r="D1044">
        <v>151</v>
      </c>
      <c r="E1044" t="s">
        <v>1447</v>
      </c>
      <c r="F1044" t="s">
        <v>2087</v>
      </c>
      <c r="G1044" t="s">
        <v>1811</v>
      </c>
      <c r="H1044" t="s">
        <v>1799</v>
      </c>
      <c r="I1044">
        <v>1</v>
      </c>
      <c r="J1044" t="s">
        <v>1799</v>
      </c>
      <c r="K1044" t="s">
        <v>1799</v>
      </c>
      <c r="L1044" t="s">
        <v>1799</v>
      </c>
      <c r="M1044" t="s">
        <v>1799</v>
      </c>
      <c r="N1044" t="s">
        <v>1799</v>
      </c>
      <c r="O1044" s="184" t="str">
        <f>"["&amp;$C1044&amp;"]["&amp;$D1044&amp;"]["&amp;$F1044&amp;"]"</f>
        <v>[S05_DefaultValues][151][InstallationNumber]</v>
      </c>
    </row>
    <row r="1045" spans="1:15" x14ac:dyDescent="0.3">
      <c r="A1045" t="s">
        <v>1793</v>
      </c>
      <c r="B1045" t="s">
        <v>1950</v>
      </c>
      <c r="C1045" t="s">
        <v>1959</v>
      </c>
      <c r="D1045">
        <v>152</v>
      </c>
      <c r="E1045" t="s">
        <v>1447</v>
      </c>
      <c r="F1045" t="s">
        <v>2087</v>
      </c>
      <c r="G1045" t="s">
        <v>1811</v>
      </c>
      <c r="H1045" t="s">
        <v>1799</v>
      </c>
      <c r="I1045">
        <v>6</v>
      </c>
      <c r="J1045" t="s">
        <v>1799</v>
      </c>
      <c r="K1045" t="s">
        <v>1799</v>
      </c>
      <c r="L1045" t="s">
        <v>1799</v>
      </c>
      <c r="M1045" t="s">
        <v>1799</v>
      </c>
      <c r="N1045" t="s">
        <v>1799</v>
      </c>
      <c r="O1045" s="184" t="str">
        <f>"["&amp;$C1045&amp;"]["&amp;$D1045&amp;"]["&amp;$F1045&amp;"]"</f>
        <v>[S05_DefaultValues][152][InstallationNumber]</v>
      </c>
    </row>
    <row r="1046" spans="1:15" x14ac:dyDescent="0.3">
      <c r="A1046" t="s">
        <v>1793</v>
      </c>
      <c r="B1046" t="s">
        <v>1950</v>
      </c>
      <c r="C1046" t="s">
        <v>1959</v>
      </c>
      <c r="D1046">
        <v>153</v>
      </c>
      <c r="E1046" t="s">
        <v>1447</v>
      </c>
      <c r="F1046" t="s">
        <v>2087</v>
      </c>
      <c r="G1046" t="s">
        <v>1811</v>
      </c>
      <c r="H1046" t="s">
        <v>1799</v>
      </c>
      <c r="I1046">
        <v>1</v>
      </c>
      <c r="J1046" t="s">
        <v>1799</v>
      </c>
      <c r="K1046" t="s">
        <v>1799</v>
      </c>
      <c r="L1046" t="s">
        <v>1799</v>
      </c>
      <c r="M1046" t="s">
        <v>1799</v>
      </c>
      <c r="N1046" t="s">
        <v>1799</v>
      </c>
      <c r="O1046" s="184" t="str">
        <f>"["&amp;$C1046&amp;"]["&amp;$D1046&amp;"]["&amp;$F1046&amp;"]"</f>
        <v>[S05_DefaultValues][153][InstallationNumber]</v>
      </c>
    </row>
    <row r="1047" spans="1:15" x14ac:dyDescent="0.3">
      <c r="A1047" t="s">
        <v>1793</v>
      </c>
      <c r="B1047" t="s">
        <v>1950</v>
      </c>
      <c r="C1047" t="s">
        <v>1959</v>
      </c>
      <c r="D1047">
        <v>154</v>
      </c>
      <c r="E1047" t="s">
        <v>1447</v>
      </c>
      <c r="F1047" t="s">
        <v>2087</v>
      </c>
      <c r="G1047" t="s">
        <v>1811</v>
      </c>
      <c r="H1047" t="s">
        <v>1799</v>
      </c>
      <c r="I1047">
        <v>1</v>
      </c>
      <c r="J1047" t="s">
        <v>1799</v>
      </c>
      <c r="K1047" t="s">
        <v>1799</v>
      </c>
      <c r="L1047" t="s">
        <v>1799</v>
      </c>
      <c r="M1047" t="s">
        <v>1799</v>
      </c>
      <c r="N1047" t="s">
        <v>1799</v>
      </c>
      <c r="O1047" s="184" t="str">
        <f>"["&amp;$C1047&amp;"]["&amp;$D1047&amp;"]["&amp;$F1047&amp;"]"</f>
        <v>[S05_DefaultValues][154][InstallationNumber]</v>
      </c>
    </row>
    <row r="1048" spans="1:15" x14ac:dyDescent="0.3">
      <c r="A1048" t="s">
        <v>1793</v>
      </c>
      <c r="B1048" t="s">
        <v>1950</v>
      </c>
      <c r="C1048" t="s">
        <v>1959</v>
      </c>
      <c r="D1048">
        <v>155</v>
      </c>
      <c r="E1048" t="s">
        <v>1447</v>
      </c>
      <c r="F1048" t="s">
        <v>2087</v>
      </c>
      <c r="G1048" t="s">
        <v>1811</v>
      </c>
      <c r="H1048" t="s">
        <v>1799</v>
      </c>
      <c r="I1048">
        <v>1</v>
      </c>
      <c r="J1048" t="s">
        <v>1799</v>
      </c>
      <c r="K1048" t="s">
        <v>1799</v>
      </c>
      <c r="L1048" t="s">
        <v>1799</v>
      </c>
      <c r="M1048" t="s">
        <v>1799</v>
      </c>
      <c r="N1048" t="s">
        <v>1799</v>
      </c>
      <c r="O1048" s="184" t="str">
        <f>"["&amp;$C1048&amp;"]["&amp;$D1048&amp;"]["&amp;$F1048&amp;"]"</f>
        <v>[S05_DefaultValues][155][InstallationNumber]</v>
      </c>
    </row>
    <row r="1049" spans="1:15" x14ac:dyDescent="0.3">
      <c r="A1049" t="s">
        <v>1793</v>
      </c>
      <c r="B1049" t="s">
        <v>1950</v>
      </c>
      <c r="C1049" t="s">
        <v>1959</v>
      </c>
      <c r="D1049">
        <v>156</v>
      </c>
      <c r="E1049" t="s">
        <v>1447</v>
      </c>
      <c r="F1049" t="s">
        <v>2087</v>
      </c>
      <c r="G1049" t="s">
        <v>1811</v>
      </c>
      <c r="H1049" t="s">
        <v>1799</v>
      </c>
      <c r="I1049">
        <v>1</v>
      </c>
      <c r="J1049" t="s">
        <v>1799</v>
      </c>
      <c r="K1049" t="s">
        <v>1799</v>
      </c>
      <c r="L1049" t="s">
        <v>1799</v>
      </c>
      <c r="M1049" t="s">
        <v>1799</v>
      </c>
      <c r="N1049" t="s">
        <v>1799</v>
      </c>
      <c r="O1049" s="184" t="str">
        <f>"["&amp;$C1049&amp;"]["&amp;$D1049&amp;"]["&amp;$F1049&amp;"]"</f>
        <v>[S05_DefaultValues][156][InstallationNumber]</v>
      </c>
    </row>
    <row r="1050" spans="1:15" x14ac:dyDescent="0.3">
      <c r="A1050" t="s">
        <v>1793</v>
      </c>
      <c r="B1050" t="s">
        <v>1950</v>
      </c>
      <c r="C1050" t="s">
        <v>1959</v>
      </c>
      <c r="D1050">
        <v>157</v>
      </c>
      <c r="E1050" t="s">
        <v>1447</v>
      </c>
      <c r="F1050" t="s">
        <v>2087</v>
      </c>
      <c r="G1050" t="s">
        <v>1811</v>
      </c>
      <c r="H1050" t="s">
        <v>1799</v>
      </c>
      <c r="I1050">
        <v>2</v>
      </c>
      <c r="J1050" t="s">
        <v>1799</v>
      </c>
      <c r="K1050" t="s">
        <v>1799</v>
      </c>
      <c r="L1050" t="s">
        <v>1799</v>
      </c>
      <c r="M1050" t="s">
        <v>1799</v>
      </c>
      <c r="N1050" t="s">
        <v>1799</v>
      </c>
      <c r="O1050" s="184" t="str">
        <f>"["&amp;$C1050&amp;"]["&amp;$D1050&amp;"]["&amp;$F1050&amp;"]"</f>
        <v>[S05_DefaultValues][157][InstallationNumber]</v>
      </c>
    </row>
    <row r="1051" spans="1:15" x14ac:dyDescent="0.3">
      <c r="A1051" t="s">
        <v>1793</v>
      </c>
      <c r="B1051" t="s">
        <v>1950</v>
      </c>
      <c r="C1051" t="s">
        <v>1959</v>
      </c>
      <c r="D1051">
        <v>158</v>
      </c>
      <c r="E1051" t="s">
        <v>1447</v>
      </c>
      <c r="F1051" t="s">
        <v>2087</v>
      </c>
      <c r="G1051" t="s">
        <v>1811</v>
      </c>
      <c r="H1051" t="s">
        <v>1799</v>
      </c>
      <c r="I1051">
        <v>1</v>
      </c>
      <c r="J1051" t="s">
        <v>1799</v>
      </c>
      <c r="K1051" t="s">
        <v>1799</v>
      </c>
      <c r="L1051" t="s">
        <v>1799</v>
      </c>
      <c r="M1051" t="s">
        <v>1799</v>
      </c>
      <c r="N1051" t="s">
        <v>1799</v>
      </c>
      <c r="O1051" s="184" t="str">
        <f>"["&amp;$C1051&amp;"]["&amp;$D1051&amp;"]["&amp;$F1051&amp;"]"</f>
        <v>[S05_DefaultValues][158][InstallationNumber]</v>
      </c>
    </row>
    <row r="1052" spans="1:15" x14ac:dyDescent="0.3">
      <c r="A1052" t="s">
        <v>1793</v>
      </c>
      <c r="B1052" t="s">
        <v>1950</v>
      </c>
      <c r="C1052" t="s">
        <v>1959</v>
      </c>
      <c r="D1052">
        <v>159</v>
      </c>
      <c r="E1052" t="s">
        <v>1447</v>
      </c>
      <c r="F1052" t="s">
        <v>2087</v>
      </c>
      <c r="G1052" t="s">
        <v>1811</v>
      </c>
      <c r="H1052" t="s">
        <v>1799</v>
      </c>
      <c r="I1052">
        <v>4</v>
      </c>
      <c r="J1052" t="s">
        <v>1799</v>
      </c>
      <c r="K1052" t="s">
        <v>1799</v>
      </c>
      <c r="L1052" t="s">
        <v>1799</v>
      </c>
      <c r="M1052" t="s">
        <v>1799</v>
      </c>
      <c r="N1052" t="s">
        <v>1799</v>
      </c>
      <c r="O1052" s="184" t="str">
        <f>"["&amp;$C1052&amp;"]["&amp;$D1052&amp;"]["&amp;$F1052&amp;"]"</f>
        <v>[S05_DefaultValues][159][InstallationNumber]</v>
      </c>
    </row>
    <row r="1053" spans="1:15" x14ac:dyDescent="0.3">
      <c r="A1053" t="s">
        <v>1793</v>
      </c>
      <c r="B1053" t="s">
        <v>1950</v>
      </c>
      <c r="C1053" t="s">
        <v>1959</v>
      </c>
      <c r="D1053">
        <v>160</v>
      </c>
      <c r="E1053" t="s">
        <v>1447</v>
      </c>
      <c r="F1053" t="s">
        <v>2087</v>
      </c>
      <c r="G1053" t="s">
        <v>1811</v>
      </c>
      <c r="H1053" t="s">
        <v>1799</v>
      </c>
      <c r="I1053">
        <v>1</v>
      </c>
      <c r="J1053" t="s">
        <v>1799</v>
      </c>
      <c r="K1053" t="s">
        <v>1799</v>
      </c>
      <c r="L1053" t="s">
        <v>1799</v>
      </c>
      <c r="M1053" t="s">
        <v>1799</v>
      </c>
      <c r="N1053" t="s">
        <v>1799</v>
      </c>
      <c r="O1053" s="184" t="str">
        <f>"["&amp;$C1053&amp;"]["&amp;$D1053&amp;"]["&amp;$F1053&amp;"]"</f>
        <v>[S05_DefaultValues][160][InstallationNumber]</v>
      </c>
    </row>
    <row r="1054" spans="1:15" x14ac:dyDescent="0.3">
      <c r="A1054" t="s">
        <v>1793</v>
      </c>
      <c r="B1054" t="s">
        <v>1950</v>
      </c>
      <c r="C1054" t="s">
        <v>1959</v>
      </c>
      <c r="D1054">
        <v>161</v>
      </c>
      <c r="E1054" t="s">
        <v>1447</v>
      </c>
      <c r="F1054" t="s">
        <v>2087</v>
      </c>
      <c r="G1054" t="s">
        <v>1811</v>
      </c>
      <c r="H1054" t="s">
        <v>1799</v>
      </c>
      <c r="I1054">
        <v>1</v>
      </c>
      <c r="J1054" t="s">
        <v>1799</v>
      </c>
      <c r="K1054" t="s">
        <v>1799</v>
      </c>
      <c r="L1054" t="s">
        <v>1799</v>
      </c>
      <c r="M1054" t="s">
        <v>1799</v>
      </c>
      <c r="N1054" t="s">
        <v>1799</v>
      </c>
      <c r="O1054" s="184" t="str">
        <f>"["&amp;$C1054&amp;"]["&amp;$D1054&amp;"]["&amp;$F1054&amp;"]"</f>
        <v>[S05_DefaultValues][161][InstallationNumber]</v>
      </c>
    </row>
    <row r="1055" spans="1:15" x14ac:dyDescent="0.3">
      <c r="A1055" t="s">
        <v>1793</v>
      </c>
      <c r="B1055" t="s">
        <v>1950</v>
      </c>
      <c r="C1055" t="s">
        <v>1959</v>
      </c>
      <c r="D1055">
        <v>162</v>
      </c>
      <c r="E1055" t="s">
        <v>1447</v>
      </c>
      <c r="F1055" t="s">
        <v>2087</v>
      </c>
      <c r="G1055" t="s">
        <v>1811</v>
      </c>
      <c r="H1055" t="s">
        <v>1799</v>
      </c>
      <c r="I1055">
        <v>7</v>
      </c>
      <c r="J1055" t="s">
        <v>1799</v>
      </c>
      <c r="K1055" t="s">
        <v>1799</v>
      </c>
      <c r="L1055" t="s">
        <v>1799</v>
      </c>
      <c r="M1055" t="s">
        <v>1799</v>
      </c>
      <c r="N1055" t="s">
        <v>1799</v>
      </c>
      <c r="O1055" s="184" t="str">
        <f>"["&amp;$C1055&amp;"]["&amp;$D1055&amp;"]["&amp;$F1055&amp;"]"</f>
        <v>[S05_DefaultValues][162][InstallationNumber]</v>
      </c>
    </row>
    <row r="1056" spans="1:15" x14ac:dyDescent="0.3">
      <c r="A1056" t="s">
        <v>1793</v>
      </c>
      <c r="B1056" t="s">
        <v>1950</v>
      </c>
      <c r="C1056" t="s">
        <v>1959</v>
      </c>
      <c r="D1056">
        <v>163</v>
      </c>
      <c r="E1056" t="s">
        <v>1447</v>
      </c>
      <c r="F1056" t="s">
        <v>2087</v>
      </c>
      <c r="G1056" t="s">
        <v>1811</v>
      </c>
      <c r="H1056" t="s">
        <v>1799</v>
      </c>
      <c r="I1056">
        <v>1</v>
      </c>
      <c r="J1056" t="s">
        <v>1799</v>
      </c>
      <c r="K1056" t="s">
        <v>1799</v>
      </c>
      <c r="L1056" t="s">
        <v>1799</v>
      </c>
      <c r="M1056" t="s">
        <v>1799</v>
      </c>
      <c r="N1056" t="s">
        <v>1799</v>
      </c>
      <c r="O1056" s="184" t="str">
        <f>"["&amp;$C1056&amp;"]["&amp;$D1056&amp;"]["&amp;$F1056&amp;"]"</f>
        <v>[S05_DefaultValues][163][InstallationNumber]</v>
      </c>
    </row>
    <row r="1057" spans="1:15" x14ac:dyDescent="0.3">
      <c r="A1057" t="s">
        <v>1793</v>
      </c>
      <c r="B1057" t="s">
        <v>1950</v>
      </c>
      <c r="C1057" t="s">
        <v>1959</v>
      </c>
      <c r="D1057">
        <v>164</v>
      </c>
      <c r="E1057" t="s">
        <v>1447</v>
      </c>
      <c r="F1057" t="s">
        <v>2087</v>
      </c>
      <c r="G1057" t="s">
        <v>1811</v>
      </c>
      <c r="H1057" t="s">
        <v>1799</v>
      </c>
      <c r="I1057">
        <v>1</v>
      </c>
      <c r="J1057" t="s">
        <v>1799</v>
      </c>
      <c r="K1057" t="s">
        <v>1799</v>
      </c>
      <c r="L1057" t="s">
        <v>1799</v>
      </c>
      <c r="M1057" t="s">
        <v>1799</v>
      </c>
      <c r="N1057" t="s">
        <v>1799</v>
      </c>
      <c r="O1057" s="184" t="str">
        <f>"["&amp;$C1057&amp;"]["&amp;$D1057&amp;"]["&amp;$F1057&amp;"]"</f>
        <v>[S05_DefaultValues][164][InstallationNumber]</v>
      </c>
    </row>
    <row r="1058" spans="1:15" x14ac:dyDescent="0.3">
      <c r="A1058" t="s">
        <v>1793</v>
      </c>
      <c r="B1058" t="s">
        <v>1950</v>
      </c>
      <c r="C1058" t="s">
        <v>1959</v>
      </c>
      <c r="D1058">
        <v>165</v>
      </c>
      <c r="E1058" t="s">
        <v>1447</v>
      </c>
      <c r="F1058" t="s">
        <v>2087</v>
      </c>
      <c r="G1058" t="s">
        <v>1811</v>
      </c>
      <c r="H1058" t="s">
        <v>1799</v>
      </c>
      <c r="I1058">
        <v>4</v>
      </c>
      <c r="J1058" t="s">
        <v>1799</v>
      </c>
      <c r="K1058" t="s">
        <v>1799</v>
      </c>
      <c r="L1058" t="s">
        <v>1799</v>
      </c>
      <c r="M1058" t="s">
        <v>1799</v>
      </c>
      <c r="N1058" t="s">
        <v>1799</v>
      </c>
      <c r="O1058" s="184" t="str">
        <f>"["&amp;$C1058&amp;"]["&amp;$D1058&amp;"]["&amp;$F1058&amp;"]"</f>
        <v>[S05_DefaultValues][165][InstallationNumber]</v>
      </c>
    </row>
    <row r="1059" spans="1:15" x14ac:dyDescent="0.3">
      <c r="A1059" t="s">
        <v>1793</v>
      </c>
      <c r="B1059" t="s">
        <v>1950</v>
      </c>
      <c r="C1059" t="s">
        <v>1959</v>
      </c>
      <c r="D1059">
        <v>166</v>
      </c>
      <c r="E1059" t="s">
        <v>1447</v>
      </c>
      <c r="F1059" t="s">
        <v>2087</v>
      </c>
      <c r="G1059" t="s">
        <v>1811</v>
      </c>
      <c r="H1059" t="s">
        <v>1799</v>
      </c>
      <c r="I1059">
        <v>1</v>
      </c>
      <c r="J1059" t="s">
        <v>1799</v>
      </c>
      <c r="K1059" t="s">
        <v>1799</v>
      </c>
      <c r="L1059" t="s">
        <v>1799</v>
      </c>
      <c r="M1059" t="s">
        <v>1799</v>
      </c>
      <c r="N1059" t="s">
        <v>1799</v>
      </c>
      <c r="O1059" s="184" t="str">
        <f>"["&amp;$C1059&amp;"]["&amp;$D1059&amp;"]["&amp;$F1059&amp;"]"</f>
        <v>[S05_DefaultValues][166][InstallationNumber]</v>
      </c>
    </row>
    <row r="1060" spans="1:15" x14ac:dyDescent="0.3">
      <c r="A1060" t="s">
        <v>1793</v>
      </c>
      <c r="B1060" t="s">
        <v>1950</v>
      </c>
      <c r="C1060" t="s">
        <v>1959</v>
      </c>
      <c r="D1060">
        <v>167</v>
      </c>
      <c r="E1060" t="s">
        <v>1447</v>
      </c>
      <c r="F1060" t="s">
        <v>2087</v>
      </c>
      <c r="G1060" t="s">
        <v>1811</v>
      </c>
      <c r="H1060" t="s">
        <v>1799</v>
      </c>
      <c r="I1060">
        <v>3</v>
      </c>
      <c r="J1060" t="s">
        <v>1799</v>
      </c>
      <c r="K1060" t="s">
        <v>1799</v>
      </c>
      <c r="L1060" t="s">
        <v>1799</v>
      </c>
      <c r="M1060" t="s">
        <v>1799</v>
      </c>
      <c r="N1060" t="s">
        <v>1799</v>
      </c>
      <c r="O1060" s="184" t="str">
        <f>"["&amp;$C1060&amp;"]["&amp;$D1060&amp;"]["&amp;$F1060&amp;"]"</f>
        <v>[S05_DefaultValues][167][InstallationNumber]</v>
      </c>
    </row>
    <row r="1061" spans="1:15" x14ac:dyDescent="0.3">
      <c r="A1061" t="s">
        <v>1793</v>
      </c>
      <c r="B1061" t="s">
        <v>1950</v>
      </c>
      <c r="C1061" t="s">
        <v>1959</v>
      </c>
      <c r="D1061">
        <v>168</v>
      </c>
      <c r="E1061" t="s">
        <v>1447</v>
      </c>
      <c r="F1061" t="s">
        <v>2087</v>
      </c>
      <c r="G1061" t="s">
        <v>1811</v>
      </c>
      <c r="H1061" t="s">
        <v>1799</v>
      </c>
      <c r="I1061">
        <v>26</v>
      </c>
      <c r="J1061" t="s">
        <v>1799</v>
      </c>
      <c r="K1061" t="s">
        <v>1799</v>
      </c>
      <c r="L1061" t="s">
        <v>1799</v>
      </c>
      <c r="M1061" t="s">
        <v>1799</v>
      </c>
      <c r="N1061" t="s">
        <v>1799</v>
      </c>
      <c r="O1061" s="184" t="str">
        <f>"["&amp;$C1061&amp;"]["&amp;$D1061&amp;"]["&amp;$F1061&amp;"]"</f>
        <v>[S05_DefaultValues][168][InstallationNumber]</v>
      </c>
    </row>
    <row r="1062" spans="1:15" x14ac:dyDescent="0.3">
      <c r="A1062" t="s">
        <v>1793</v>
      </c>
      <c r="B1062" t="s">
        <v>1950</v>
      </c>
      <c r="C1062" t="s">
        <v>1959</v>
      </c>
      <c r="D1062">
        <v>169</v>
      </c>
      <c r="E1062" t="s">
        <v>1447</v>
      </c>
      <c r="F1062" t="s">
        <v>2087</v>
      </c>
      <c r="G1062" t="s">
        <v>1811</v>
      </c>
      <c r="H1062" t="s">
        <v>1799</v>
      </c>
      <c r="I1062">
        <v>3</v>
      </c>
      <c r="J1062" t="s">
        <v>1799</v>
      </c>
      <c r="K1062" t="s">
        <v>1799</v>
      </c>
      <c r="L1062" t="s">
        <v>1799</v>
      </c>
      <c r="M1062" t="s">
        <v>1799</v>
      </c>
      <c r="N1062" t="s">
        <v>1799</v>
      </c>
      <c r="O1062" s="184" t="str">
        <f>"["&amp;$C1062&amp;"]["&amp;$D1062&amp;"]["&amp;$F1062&amp;"]"</f>
        <v>[S05_DefaultValues][169][InstallationNumber]</v>
      </c>
    </row>
    <row r="1063" spans="1:15" x14ac:dyDescent="0.3">
      <c r="A1063" t="s">
        <v>1793</v>
      </c>
      <c r="B1063" t="s">
        <v>1950</v>
      </c>
      <c r="C1063" t="s">
        <v>1959</v>
      </c>
      <c r="D1063">
        <v>170</v>
      </c>
      <c r="E1063" t="s">
        <v>1447</v>
      </c>
      <c r="F1063" t="s">
        <v>2087</v>
      </c>
      <c r="G1063" t="s">
        <v>1811</v>
      </c>
      <c r="H1063" t="s">
        <v>1799</v>
      </c>
      <c r="I1063">
        <v>1</v>
      </c>
      <c r="J1063" t="s">
        <v>1799</v>
      </c>
      <c r="K1063" t="s">
        <v>1799</v>
      </c>
      <c r="L1063" t="s">
        <v>1799</v>
      </c>
      <c r="M1063" t="s">
        <v>1799</v>
      </c>
      <c r="N1063" t="s">
        <v>1799</v>
      </c>
      <c r="O1063" s="184" t="str">
        <f>"["&amp;$C1063&amp;"]["&amp;$D1063&amp;"]["&amp;$F1063&amp;"]"</f>
        <v>[S05_DefaultValues][170][InstallationNumber]</v>
      </c>
    </row>
    <row r="1064" spans="1:15" x14ac:dyDescent="0.3">
      <c r="A1064" t="s">
        <v>1793</v>
      </c>
      <c r="B1064" t="s">
        <v>1950</v>
      </c>
      <c r="C1064" t="s">
        <v>1959</v>
      </c>
      <c r="D1064">
        <v>171</v>
      </c>
      <c r="E1064" t="s">
        <v>1447</v>
      </c>
      <c r="F1064" t="s">
        <v>2087</v>
      </c>
      <c r="G1064" t="s">
        <v>1811</v>
      </c>
      <c r="H1064" t="s">
        <v>1799</v>
      </c>
      <c r="I1064">
        <v>1</v>
      </c>
      <c r="J1064" t="s">
        <v>1799</v>
      </c>
      <c r="K1064" t="s">
        <v>1799</v>
      </c>
      <c r="L1064" t="s">
        <v>1799</v>
      </c>
      <c r="M1064" t="s">
        <v>1799</v>
      </c>
      <c r="N1064" t="s">
        <v>1799</v>
      </c>
      <c r="O1064" s="184" t="str">
        <f>"["&amp;$C1064&amp;"]["&amp;$D1064&amp;"]["&amp;$F1064&amp;"]"</f>
        <v>[S05_DefaultValues][171][InstallationNumber]</v>
      </c>
    </row>
    <row r="1065" spans="1:15" x14ac:dyDescent="0.3">
      <c r="A1065" t="s">
        <v>1793</v>
      </c>
      <c r="B1065" t="s">
        <v>1950</v>
      </c>
      <c r="C1065" t="s">
        <v>1959</v>
      </c>
      <c r="D1065">
        <v>172</v>
      </c>
      <c r="E1065" t="s">
        <v>1447</v>
      </c>
      <c r="F1065" t="s">
        <v>2087</v>
      </c>
      <c r="G1065" t="s">
        <v>1811</v>
      </c>
      <c r="H1065" t="s">
        <v>1799</v>
      </c>
      <c r="I1065">
        <v>1</v>
      </c>
      <c r="J1065" t="s">
        <v>1799</v>
      </c>
      <c r="K1065" t="s">
        <v>1799</v>
      </c>
      <c r="L1065" t="s">
        <v>1799</v>
      </c>
      <c r="M1065" t="s">
        <v>1799</v>
      </c>
      <c r="N1065" t="s">
        <v>1799</v>
      </c>
      <c r="O1065" s="184" t="str">
        <f>"["&amp;$C1065&amp;"]["&amp;$D1065&amp;"]["&amp;$F1065&amp;"]"</f>
        <v>[S05_DefaultValues][172][InstallationNumber]</v>
      </c>
    </row>
    <row r="1066" spans="1:15" x14ac:dyDescent="0.3">
      <c r="A1066" t="s">
        <v>1793</v>
      </c>
      <c r="B1066" t="s">
        <v>1950</v>
      </c>
      <c r="C1066" t="s">
        <v>1959</v>
      </c>
      <c r="D1066">
        <v>173</v>
      </c>
      <c r="E1066" t="s">
        <v>1447</v>
      </c>
      <c r="F1066" t="s">
        <v>2087</v>
      </c>
      <c r="G1066" t="s">
        <v>1811</v>
      </c>
      <c r="H1066" t="s">
        <v>1799</v>
      </c>
      <c r="I1066">
        <v>1</v>
      </c>
      <c r="J1066" t="s">
        <v>1799</v>
      </c>
      <c r="K1066" t="s">
        <v>1799</v>
      </c>
      <c r="L1066" t="s">
        <v>1799</v>
      </c>
      <c r="M1066" t="s">
        <v>1799</v>
      </c>
      <c r="N1066" t="s">
        <v>1799</v>
      </c>
      <c r="O1066" s="184" t="str">
        <f>"["&amp;$C1066&amp;"]["&amp;$D1066&amp;"]["&amp;$F1066&amp;"]"</f>
        <v>[S05_DefaultValues][173][InstallationNumber]</v>
      </c>
    </row>
    <row r="1067" spans="1:15" x14ac:dyDescent="0.3">
      <c r="A1067" t="s">
        <v>1793</v>
      </c>
      <c r="B1067" t="s">
        <v>1950</v>
      </c>
      <c r="C1067" t="s">
        <v>1959</v>
      </c>
      <c r="D1067">
        <v>174</v>
      </c>
      <c r="E1067" t="s">
        <v>1447</v>
      </c>
      <c r="F1067" t="s">
        <v>2087</v>
      </c>
      <c r="G1067" t="s">
        <v>1811</v>
      </c>
      <c r="H1067" t="s">
        <v>1799</v>
      </c>
      <c r="I1067">
        <v>108</v>
      </c>
      <c r="J1067" t="s">
        <v>1799</v>
      </c>
      <c r="K1067" t="s">
        <v>1799</v>
      </c>
      <c r="L1067" t="s">
        <v>1799</v>
      </c>
      <c r="M1067" t="s">
        <v>1799</v>
      </c>
      <c r="N1067" t="s">
        <v>1799</v>
      </c>
      <c r="O1067" s="184" t="str">
        <f>"["&amp;$C1067&amp;"]["&amp;$D1067&amp;"]["&amp;$F1067&amp;"]"</f>
        <v>[S05_DefaultValues][174][InstallationNumber]</v>
      </c>
    </row>
    <row r="1068" spans="1:15" x14ac:dyDescent="0.3">
      <c r="A1068" t="s">
        <v>1793</v>
      </c>
      <c r="B1068" t="s">
        <v>1950</v>
      </c>
      <c r="C1068" t="s">
        <v>1959</v>
      </c>
      <c r="D1068">
        <v>175</v>
      </c>
      <c r="E1068" t="s">
        <v>1447</v>
      </c>
      <c r="F1068" t="s">
        <v>2087</v>
      </c>
      <c r="G1068" t="s">
        <v>1811</v>
      </c>
      <c r="H1068" t="s">
        <v>1799</v>
      </c>
      <c r="I1068">
        <v>1</v>
      </c>
      <c r="J1068" t="s">
        <v>1799</v>
      </c>
      <c r="K1068" t="s">
        <v>1799</v>
      </c>
      <c r="L1068" t="s">
        <v>1799</v>
      </c>
      <c r="M1068" t="s">
        <v>1799</v>
      </c>
      <c r="N1068" t="s">
        <v>1799</v>
      </c>
      <c r="O1068" s="184" t="str">
        <f>"["&amp;$C1068&amp;"]["&amp;$D1068&amp;"]["&amp;$F1068&amp;"]"</f>
        <v>[S05_DefaultValues][175][InstallationNumber]</v>
      </c>
    </row>
    <row r="1069" spans="1:15" x14ac:dyDescent="0.3">
      <c r="A1069" t="s">
        <v>1793</v>
      </c>
      <c r="B1069" t="s">
        <v>1950</v>
      </c>
      <c r="C1069" t="s">
        <v>1959</v>
      </c>
      <c r="D1069">
        <v>176</v>
      </c>
      <c r="E1069" t="s">
        <v>1447</v>
      </c>
      <c r="F1069" t="s">
        <v>2087</v>
      </c>
      <c r="G1069" t="s">
        <v>1811</v>
      </c>
      <c r="H1069" t="s">
        <v>1799</v>
      </c>
      <c r="I1069">
        <v>2</v>
      </c>
      <c r="J1069" t="s">
        <v>1799</v>
      </c>
      <c r="K1069" t="s">
        <v>1799</v>
      </c>
      <c r="L1069" t="s">
        <v>1799</v>
      </c>
      <c r="M1069" t="s">
        <v>1799</v>
      </c>
      <c r="N1069" t="s">
        <v>1799</v>
      </c>
      <c r="O1069" s="184" t="str">
        <f>"["&amp;$C1069&amp;"]["&amp;$D1069&amp;"]["&amp;$F1069&amp;"]"</f>
        <v>[S05_DefaultValues][176][InstallationNumber]</v>
      </c>
    </row>
    <row r="1070" spans="1:15" x14ac:dyDescent="0.3">
      <c r="A1070" t="s">
        <v>1793</v>
      </c>
      <c r="B1070" t="s">
        <v>1950</v>
      </c>
      <c r="C1070" t="s">
        <v>1959</v>
      </c>
      <c r="D1070">
        <v>177</v>
      </c>
      <c r="E1070" t="s">
        <v>1447</v>
      </c>
      <c r="F1070" t="s">
        <v>2087</v>
      </c>
      <c r="G1070" t="s">
        <v>1811</v>
      </c>
      <c r="H1070" t="s">
        <v>1799</v>
      </c>
      <c r="I1070">
        <v>2</v>
      </c>
      <c r="J1070" t="s">
        <v>1799</v>
      </c>
      <c r="K1070" t="s">
        <v>1799</v>
      </c>
      <c r="L1070" t="s">
        <v>1799</v>
      </c>
      <c r="M1070" t="s">
        <v>1799</v>
      </c>
      <c r="N1070" t="s">
        <v>1799</v>
      </c>
      <c r="O1070" s="184" t="str">
        <f>"["&amp;$C1070&amp;"]["&amp;$D1070&amp;"]["&amp;$F1070&amp;"]"</f>
        <v>[S05_DefaultValues][177][InstallationNumber]</v>
      </c>
    </row>
    <row r="1071" spans="1:15" x14ac:dyDescent="0.3">
      <c r="A1071" t="s">
        <v>1793</v>
      </c>
      <c r="B1071" t="s">
        <v>1950</v>
      </c>
      <c r="C1071" t="s">
        <v>1959</v>
      </c>
      <c r="D1071">
        <v>178</v>
      </c>
      <c r="E1071" t="s">
        <v>1447</v>
      </c>
      <c r="F1071" t="s">
        <v>2087</v>
      </c>
      <c r="G1071" t="s">
        <v>1811</v>
      </c>
      <c r="H1071" t="s">
        <v>1799</v>
      </c>
      <c r="I1071">
        <v>4</v>
      </c>
      <c r="J1071" t="s">
        <v>1799</v>
      </c>
      <c r="K1071" t="s">
        <v>1799</v>
      </c>
      <c r="L1071" t="s">
        <v>1799</v>
      </c>
      <c r="M1071" t="s">
        <v>1799</v>
      </c>
      <c r="N1071" t="s">
        <v>1799</v>
      </c>
      <c r="O1071" s="184" t="str">
        <f>"["&amp;$C1071&amp;"]["&amp;$D1071&amp;"]["&amp;$F1071&amp;"]"</f>
        <v>[S05_DefaultValues][178][InstallationNumber]</v>
      </c>
    </row>
    <row r="1072" spans="1:15" x14ac:dyDescent="0.3">
      <c r="A1072" t="s">
        <v>1793</v>
      </c>
      <c r="B1072" t="s">
        <v>1950</v>
      </c>
      <c r="C1072" t="s">
        <v>1959</v>
      </c>
      <c r="D1072">
        <v>179</v>
      </c>
      <c r="E1072" t="s">
        <v>1447</v>
      </c>
      <c r="F1072" t="s">
        <v>2087</v>
      </c>
      <c r="G1072" t="s">
        <v>1811</v>
      </c>
      <c r="H1072" t="s">
        <v>1799</v>
      </c>
      <c r="I1072">
        <v>26</v>
      </c>
      <c r="J1072" t="s">
        <v>1799</v>
      </c>
      <c r="K1072" t="s">
        <v>1799</v>
      </c>
      <c r="L1072" t="s">
        <v>1799</v>
      </c>
      <c r="M1072" t="s">
        <v>1799</v>
      </c>
      <c r="N1072" t="s">
        <v>1799</v>
      </c>
      <c r="O1072" s="184" t="str">
        <f>"["&amp;$C1072&amp;"]["&amp;$D1072&amp;"]["&amp;$F1072&amp;"]"</f>
        <v>[S05_DefaultValues][179][InstallationNumber]</v>
      </c>
    </row>
    <row r="1073" spans="1:15" x14ac:dyDescent="0.3">
      <c r="A1073" t="s">
        <v>1793</v>
      </c>
      <c r="B1073" t="s">
        <v>1950</v>
      </c>
      <c r="C1073" t="s">
        <v>1959</v>
      </c>
      <c r="D1073">
        <v>180</v>
      </c>
      <c r="E1073" t="s">
        <v>1447</v>
      </c>
      <c r="F1073" t="s">
        <v>2087</v>
      </c>
      <c r="G1073" t="s">
        <v>1811</v>
      </c>
      <c r="H1073" t="s">
        <v>1799</v>
      </c>
      <c r="I1073">
        <v>4</v>
      </c>
      <c r="J1073" t="s">
        <v>1799</v>
      </c>
      <c r="K1073" t="s">
        <v>1799</v>
      </c>
      <c r="L1073" t="s">
        <v>1799</v>
      </c>
      <c r="M1073" t="s">
        <v>1799</v>
      </c>
      <c r="N1073" t="s">
        <v>1799</v>
      </c>
      <c r="O1073" s="184" t="str">
        <f>"["&amp;$C1073&amp;"]["&amp;$D1073&amp;"]["&amp;$F1073&amp;"]"</f>
        <v>[S05_DefaultValues][180][InstallationNumber]</v>
      </c>
    </row>
    <row r="1074" spans="1:15" x14ac:dyDescent="0.3">
      <c r="A1074" t="s">
        <v>1793</v>
      </c>
      <c r="B1074" t="s">
        <v>1950</v>
      </c>
      <c r="C1074" t="s">
        <v>1959</v>
      </c>
      <c r="D1074">
        <v>181</v>
      </c>
      <c r="E1074" t="s">
        <v>1447</v>
      </c>
      <c r="F1074" t="s">
        <v>2087</v>
      </c>
      <c r="G1074" t="s">
        <v>1811</v>
      </c>
      <c r="H1074" t="s">
        <v>1799</v>
      </c>
      <c r="I1074">
        <v>2</v>
      </c>
      <c r="J1074" t="s">
        <v>1799</v>
      </c>
      <c r="K1074" t="s">
        <v>1799</v>
      </c>
      <c r="L1074" t="s">
        <v>1799</v>
      </c>
      <c r="M1074" t="s">
        <v>1799</v>
      </c>
      <c r="N1074" t="s">
        <v>1799</v>
      </c>
      <c r="O1074" s="184" t="str">
        <f>"["&amp;$C1074&amp;"]["&amp;$D1074&amp;"]["&amp;$F1074&amp;"]"</f>
        <v>[S05_DefaultValues][181][InstallationNumber]</v>
      </c>
    </row>
    <row r="1075" spans="1:15" x14ac:dyDescent="0.3">
      <c r="A1075" t="s">
        <v>1793</v>
      </c>
      <c r="B1075" t="s">
        <v>1950</v>
      </c>
      <c r="C1075" t="s">
        <v>1959</v>
      </c>
      <c r="D1075">
        <v>182</v>
      </c>
      <c r="E1075" t="s">
        <v>1447</v>
      </c>
      <c r="F1075" t="s">
        <v>2087</v>
      </c>
      <c r="G1075" t="s">
        <v>1811</v>
      </c>
      <c r="H1075" t="s">
        <v>1799</v>
      </c>
      <c r="I1075">
        <v>6</v>
      </c>
      <c r="J1075" t="s">
        <v>1799</v>
      </c>
      <c r="K1075" t="s">
        <v>1799</v>
      </c>
      <c r="L1075" t="s">
        <v>1799</v>
      </c>
      <c r="M1075" t="s">
        <v>1799</v>
      </c>
      <c r="N1075" t="s">
        <v>1799</v>
      </c>
      <c r="O1075" s="184" t="str">
        <f>"["&amp;$C1075&amp;"]["&amp;$D1075&amp;"]["&amp;$F1075&amp;"]"</f>
        <v>[S05_DefaultValues][182][InstallationNumber]</v>
      </c>
    </row>
    <row r="1076" spans="1:15" x14ac:dyDescent="0.3">
      <c r="A1076" t="s">
        <v>1793</v>
      </c>
      <c r="B1076" t="s">
        <v>1950</v>
      </c>
      <c r="C1076" t="s">
        <v>1959</v>
      </c>
      <c r="D1076">
        <v>183</v>
      </c>
      <c r="E1076" t="s">
        <v>1447</v>
      </c>
      <c r="F1076" t="s">
        <v>2087</v>
      </c>
      <c r="G1076" t="s">
        <v>1811</v>
      </c>
      <c r="H1076" t="s">
        <v>1799</v>
      </c>
      <c r="I1076">
        <v>13</v>
      </c>
      <c r="J1076" t="s">
        <v>1799</v>
      </c>
      <c r="K1076" t="s">
        <v>1799</v>
      </c>
      <c r="L1076" t="s">
        <v>1799</v>
      </c>
      <c r="M1076" t="s">
        <v>1799</v>
      </c>
      <c r="N1076" t="s">
        <v>1799</v>
      </c>
      <c r="O1076" s="184" t="str">
        <f>"["&amp;$C1076&amp;"]["&amp;$D1076&amp;"]["&amp;$F1076&amp;"]"</f>
        <v>[S05_DefaultValues][183][InstallationNumber]</v>
      </c>
    </row>
    <row r="1077" spans="1:15" x14ac:dyDescent="0.3">
      <c r="A1077" t="s">
        <v>1793</v>
      </c>
      <c r="B1077" t="s">
        <v>1950</v>
      </c>
      <c r="C1077" t="s">
        <v>1959</v>
      </c>
      <c r="D1077">
        <v>184</v>
      </c>
      <c r="E1077" t="s">
        <v>1447</v>
      </c>
      <c r="F1077" t="s">
        <v>2087</v>
      </c>
      <c r="G1077" t="s">
        <v>1811</v>
      </c>
      <c r="H1077" t="s">
        <v>1799</v>
      </c>
      <c r="I1077">
        <v>12</v>
      </c>
      <c r="J1077" t="s">
        <v>1799</v>
      </c>
      <c r="K1077" t="s">
        <v>1799</v>
      </c>
      <c r="L1077" t="s">
        <v>1799</v>
      </c>
      <c r="M1077" t="s">
        <v>1799</v>
      </c>
      <c r="N1077" t="s">
        <v>1799</v>
      </c>
      <c r="O1077" s="184" t="str">
        <f>"["&amp;$C1077&amp;"]["&amp;$D1077&amp;"]["&amp;$F1077&amp;"]"</f>
        <v>[S05_DefaultValues][184][InstallationNumber]</v>
      </c>
    </row>
    <row r="1078" spans="1:15" x14ac:dyDescent="0.3">
      <c r="A1078" t="s">
        <v>1793</v>
      </c>
      <c r="B1078" t="s">
        <v>1950</v>
      </c>
      <c r="C1078" t="s">
        <v>1959</v>
      </c>
      <c r="D1078">
        <v>185</v>
      </c>
      <c r="E1078" t="s">
        <v>1447</v>
      </c>
      <c r="F1078" t="s">
        <v>2087</v>
      </c>
      <c r="G1078" t="s">
        <v>1811</v>
      </c>
      <c r="H1078" t="s">
        <v>1799</v>
      </c>
      <c r="I1078">
        <v>4</v>
      </c>
      <c r="J1078" t="s">
        <v>1799</v>
      </c>
      <c r="K1078" t="s">
        <v>1799</v>
      </c>
      <c r="L1078" t="s">
        <v>1799</v>
      </c>
      <c r="M1078" t="s">
        <v>1799</v>
      </c>
      <c r="N1078" t="s">
        <v>1799</v>
      </c>
      <c r="O1078" s="184" t="str">
        <f>"["&amp;$C1078&amp;"]["&amp;$D1078&amp;"]["&amp;$F1078&amp;"]"</f>
        <v>[S05_DefaultValues][185][InstallationNumber]</v>
      </c>
    </row>
    <row r="1079" spans="1:15" x14ac:dyDescent="0.3">
      <c r="A1079" t="s">
        <v>1793</v>
      </c>
      <c r="B1079" t="s">
        <v>1950</v>
      </c>
      <c r="C1079" t="s">
        <v>1959</v>
      </c>
      <c r="D1079">
        <v>186</v>
      </c>
      <c r="E1079" t="s">
        <v>1447</v>
      </c>
      <c r="F1079" t="s">
        <v>2087</v>
      </c>
      <c r="G1079" t="s">
        <v>1811</v>
      </c>
      <c r="H1079" t="s">
        <v>1799</v>
      </c>
      <c r="I1079">
        <v>3</v>
      </c>
      <c r="J1079" t="s">
        <v>1799</v>
      </c>
      <c r="K1079" t="s">
        <v>1799</v>
      </c>
      <c r="L1079" t="s">
        <v>1799</v>
      </c>
      <c r="M1079" t="s">
        <v>1799</v>
      </c>
      <c r="N1079" t="s">
        <v>1799</v>
      </c>
      <c r="O1079" s="184" t="str">
        <f>"["&amp;$C1079&amp;"]["&amp;$D1079&amp;"]["&amp;$F1079&amp;"]"</f>
        <v>[S05_DefaultValues][186][InstallationNumber]</v>
      </c>
    </row>
    <row r="1080" spans="1:15" x14ac:dyDescent="0.3">
      <c r="A1080" t="s">
        <v>1793</v>
      </c>
      <c r="B1080" t="s">
        <v>1950</v>
      </c>
      <c r="C1080" t="s">
        <v>1959</v>
      </c>
      <c r="D1080">
        <v>187</v>
      </c>
      <c r="E1080" t="s">
        <v>1447</v>
      </c>
      <c r="F1080" t="s">
        <v>2087</v>
      </c>
      <c r="G1080" t="s">
        <v>1811</v>
      </c>
      <c r="H1080" t="s">
        <v>1799</v>
      </c>
      <c r="I1080">
        <v>5</v>
      </c>
      <c r="J1080" t="s">
        <v>1799</v>
      </c>
      <c r="K1080" t="s">
        <v>1799</v>
      </c>
      <c r="L1080" t="s">
        <v>1799</v>
      </c>
      <c r="M1080" t="s">
        <v>1799</v>
      </c>
      <c r="N1080" t="s">
        <v>1799</v>
      </c>
      <c r="O1080" s="184" t="str">
        <f>"["&amp;$C1080&amp;"]["&amp;$D1080&amp;"]["&amp;$F1080&amp;"]"</f>
        <v>[S05_DefaultValues][187][InstallationNumber]</v>
      </c>
    </row>
    <row r="1081" spans="1:15" x14ac:dyDescent="0.3">
      <c r="A1081" t="s">
        <v>1793</v>
      </c>
      <c r="B1081" t="s">
        <v>1950</v>
      </c>
      <c r="C1081" t="s">
        <v>1959</v>
      </c>
      <c r="D1081">
        <v>188</v>
      </c>
      <c r="E1081" t="s">
        <v>1447</v>
      </c>
      <c r="F1081" t="s">
        <v>2087</v>
      </c>
      <c r="G1081" t="s">
        <v>1811</v>
      </c>
      <c r="H1081" t="s">
        <v>1799</v>
      </c>
      <c r="I1081">
        <v>2</v>
      </c>
      <c r="J1081" t="s">
        <v>1799</v>
      </c>
      <c r="K1081" t="s">
        <v>1799</v>
      </c>
      <c r="L1081" t="s">
        <v>1799</v>
      </c>
      <c r="M1081" t="s">
        <v>1799</v>
      </c>
      <c r="N1081" t="s">
        <v>1799</v>
      </c>
      <c r="O1081" s="184" t="str">
        <f>"["&amp;$C1081&amp;"]["&amp;$D1081&amp;"]["&amp;$F1081&amp;"]"</f>
        <v>[S05_DefaultValues][188][InstallationNumber]</v>
      </c>
    </row>
    <row r="1082" spans="1:15" x14ac:dyDescent="0.3">
      <c r="A1082" t="s">
        <v>1793</v>
      </c>
      <c r="B1082" t="s">
        <v>1950</v>
      </c>
      <c r="C1082" t="s">
        <v>1959</v>
      </c>
      <c r="D1082">
        <v>189</v>
      </c>
      <c r="E1082" t="s">
        <v>1447</v>
      </c>
      <c r="F1082" t="s">
        <v>2087</v>
      </c>
      <c r="G1082" t="s">
        <v>1811</v>
      </c>
      <c r="H1082" t="s">
        <v>1799</v>
      </c>
      <c r="I1082">
        <v>1</v>
      </c>
      <c r="J1082" t="s">
        <v>1799</v>
      </c>
      <c r="K1082" t="s">
        <v>1799</v>
      </c>
      <c r="L1082" t="s">
        <v>1799</v>
      </c>
      <c r="M1082" t="s">
        <v>1799</v>
      </c>
      <c r="N1082" t="s">
        <v>1799</v>
      </c>
      <c r="O1082" s="184" t="str">
        <f>"["&amp;$C1082&amp;"]["&amp;$D1082&amp;"]["&amp;$F1082&amp;"]"</f>
        <v>[S05_DefaultValues][189][InstallationNumber]</v>
      </c>
    </row>
    <row r="1083" spans="1:15" x14ac:dyDescent="0.3">
      <c r="A1083" t="s">
        <v>1793</v>
      </c>
      <c r="B1083" t="s">
        <v>1950</v>
      </c>
      <c r="C1083" t="s">
        <v>1959</v>
      </c>
      <c r="D1083">
        <v>190</v>
      </c>
      <c r="E1083" t="s">
        <v>1447</v>
      </c>
      <c r="F1083" t="s">
        <v>2087</v>
      </c>
      <c r="G1083" t="s">
        <v>1811</v>
      </c>
      <c r="H1083" t="s">
        <v>1799</v>
      </c>
      <c r="I1083">
        <v>6</v>
      </c>
      <c r="J1083" t="s">
        <v>1799</v>
      </c>
      <c r="K1083" t="s">
        <v>1799</v>
      </c>
      <c r="L1083" t="s">
        <v>1799</v>
      </c>
      <c r="M1083" t="s">
        <v>1799</v>
      </c>
      <c r="N1083" t="s">
        <v>1799</v>
      </c>
      <c r="O1083" s="184" t="str">
        <f>"["&amp;$C1083&amp;"]["&amp;$D1083&amp;"]["&amp;$F1083&amp;"]"</f>
        <v>[S05_DefaultValues][190][InstallationNumber]</v>
      </c>
    </row>
    <row r="1084" spans="1:15" x14ac:dyDescent="0.3">
      <c r="A1084" t="s">
        <v>1793</v>
      </c>
      <c r="B1084" t="s">
        <v>1950</v>
      </c>
      <c r="C1084" t="s">
        <v>1959</v>
      </c>
      <c r="D1084">
        <v>191</v>
      </c>
      <c r="E1084" t="s">
        <v>1447</v>
      </c>
      <c r="F1084" t="s">
        <v>2087</v>
      </c>
      <c r="G1084" t="s">
        <v>1811</v>
      </c>
      <c r="H1084" t="s">
        <v>1799</v>
      </c>
      <c r="I1084">
        <v>2</v>
      </c>
      <c r="J1084" t="s">
        <v>1799</v>
      </c>
      <c r="K1084" t="s">
        <v>1799</v>
      </c>
      <c r="L1084" t="s">
        <v>1799</v>
      </c>
      <c r="M1084" t="s">
        <v>1799</v>
      </c>
      <c r="N1084" t="s">
        <v>1799</v>
      </c>
      <c r="O1084" s="184" t="str">
        <f>"["&amp;$C1084&amp;"]["&amp;$D1084&amp;"]["&amp;$F1084&amp;"]"</f>
        <v>[S05_DefaultValues][191][InstallationNumber]</v>
      </c>
    </row>
    <row r="1085" spans="1:15" x14ac:dyDescent="0.3">
      <c r="A1085" t="s">
        <v>1793</v>
      </c>
      <c r="B1085" t="s">
        <v>1950</v>
      </c>
      <c r="C1085" t="s">
        <v>1959</v>
      </c>
      <c r="D1085">
        <v>192</v>
      </c>
      <c r="E1085" t="s">
        <v>1447</v>
      </c>
      <c r="F1085" t="s">
        <v>2087</v>
      </c>
      <c r="G1085" t="s">
        <v>1811</v>
      </c>
      <c r="H1085" t="s">
        <v>1799</v>
      </c>
      <c r="I1085">
        <v>1</v>
      </c>
      <c r="J1085" t="s">
        <v>1799</v>
      </c>
      <c r="K1085" t="s">
        <v>1799</v>
      </c>
      <c r="L1085" t="s">
        <v>1799</v>
      </c>
      <c r="M1085" t="s">
        <v>1799</v>
      </c>
      <c r="N1085" t="s">
        <v>1799</v>
      </c>
      <c r="O1085" s="184" t="str">
        <f>"["&amp;$C1085&amp;"]["&amp;$D1085&amp;"]["&amp;$F1085&amp;"]"</f>
        <v>[S05_DefaultValues][192][InstallationNumber]</v>
      </c>
    </row>
    <row r="1086" spans="1:15" x14ac:dyDescent="0.3">
      <c r="A1086" t="s">
        <v>1793</v>
      </c>
      <c r="B1086" t="s">
        <v>1950</v>
      </c>
      <c r="C1086" t="s">
        <v>1959</v>
      </c>
      <c r="D1086">
        <v>193</v>
      </c>
      <c r="E1086" t="s">
        <v>1447</v>
      </c>
      <c r="F1086" t="s">
        <v>2087</v>
      </c>
      <c r="G1086" t="s">
        <v>1811</v>
      </c>
      <c r="H1086" t="s">
        <v>1799</v>
      </c>
      <c r="I1086">
        <v>3</v>
      </c>
      <c r="J1086" t="s">
        <v>1799</v>
      </c>
      <c r="K1086" t="s">
        <v>1799</v>
      </c>
      <c r="L1086" t="s">
        <v>1799</v>
      </c>
      <c r="M1086" t="s">
        <v>1799</v>
      </c>
      <c r="N1086" t="s">
        <v>1799</v>
      </c>
      <c r="O1086" s="184" t="str">
        <f>"["&amp;$C1086&amp;"]["&amp;$D1086&amp;"]["&amp;$F1086&amp;"]"</f>
        <v>[S05_DefaultValues][193][InstallationNumber]</v>
      </c>
    </row>
    <row r="1087" spans="1:15" x14ac:dyDescent="0.3">
      <c r="A1087" t="s">
        <v>1793</v>
      </c>
      <c r="B1087" t="s">
        <v>1950</v>
      </c>
      <c r="C1087" t="s">
        <v>1959</v>
      </c>
      <c r="D1087">
        <v>194</v>
      </c>
      <c r="E1087" t="s">
        <v>1447</v>
      </c>
      <c r="F1087" t="s">
        <v>2087</v>
      </c>
      <c r="G1087" t="s">
        <v>1811</v>
      </c>
      <c r="H1087" t="s">
        <v>1799</v>
      </c>
      <c r="I1087">
        <v>2</v>
      </c>
      <c r="J1087" t="s">
        <v>1799</v>
      </c>
      <c r="K1087" t="s">
        <v>1799</v>
      </c>
      <c r="L1087" t="s">
        <v>1799</v>
      </c>
      <c r="M1087" t="s">
        <v>1799</v>
      </c>
      <c r="N1087" t="s">
        <v>1799</v>
      </c>
      <c r="O1087" s="184" t="str">
        <f>"["&amp;$C1087&amp;"]["&amp;$D1087&amp;"]["&amp;$F1087&amp;"]"</f>
        <v>[S05_DefaultValues][194][InstallationNumber]</v>
      </c>
    </row>
    <row r="1088" spans="1:15" x14ac:dyDescent="0.3">
      <c r="A1088" t="s">
        <v>1793</v>
      </c>
      <c r="B1088" t="s">
        <v>1950</v>
      </c>
      <c r="C1088" t="s">
        <v>1959</v>
      </c>
      <c r="D1088">
        <v>195</v>
      </c>
      <c r="E1088" t="s">
        <v>1447</v>
      </c>
      <c r="F1088" t="s">
        <v>2087</v>
      </c>
      <c r="G1088" t="s">
        <v>1811</v>
      </c>
      <c r="H1088" t="s">
        <v>1799</v>
      </c>
      <c r="I1088">
        <v>3</v>
      </c>
      <c r="J1088" t="s">
        <v>1799</v>
      </c>
      <c r="K1088" t="s">
        <v>1799</v>
      </c>
      <c r="L1088" t="s">
        <v>1799</v>
      </c>
      <c r="M1088" t="s">
        <v>1799</v>
      </c>
      <c r="N1088" t="s">
        <v>1799</v>
      </c>
      <c r="O1088" s="184" t="str">
        <f>"["&amp;$C1088&amp;"]["&amp;$D1088&amp;"]["&amp;$F1088&amp;"]"</f>
        <v>[S05_DefaultValues][195][InstallationNumber]</v>
      </c>
    </row>
    <row r="1089" spans="1:15" x14ac:dyDescent="0.3">
      <c r="A1089" t="s">
        <v>1793</v>
      </c>
      <c r="B1089" t="s">
        <v>1950</v>
      </c>
      <c r="C1089" t="s">
        <v>1959</v>
      </c>
      <c r="D1089">
        <v>196</v>
      </c>
      <c r="E1089" t="s">
        <v>1447</v>
      </c>
      <c r="F1089" t="s">
        <v>2087</v>
      </c>
      <c r="G1089" t="s">
        <v>1811</v>
      </c>
      <c r="H1089" t="s">
        <v>1799</v>
      </c>
      <c r="I1089">
        <v>27</v>
      </c>
      <c r="J1089" t="s">
        <v>1799</v>
      </c>
      <c r="K1089" t="s">
        <v>1799</v>
      </c>
      <c r="L1089" t="s">
        <v>1799</v>
      </c>
      <c r="M1089" t="s">
        <v>1799</v>
      </c>
      <c r="N1089" t="s">
        <v>1799</v>
      </c>
      <c r="O1089" s="184" t="str">
        <f>"["&amp;$C1089&amp;"]["&amp;$D1089&amp;"]["&amp;$F1089&amp;"]"</f>
        <v>[S05_DefaultValues][196][InstallationNumber]</v>
      </c>
    </row>
    <row r="1090" spans="1:15" x14ac:dyDescent="0.3">
      <c r="A1090" t="s">
        <v>1793</v>
      </c>
      <c r="B1090" t="s">
        <v>1950</v>
      </c>
      <c r="C1090" t="s">
        <v>1959</v>
      </c>
      <c r="D1090">
        <v>197</v>
      </c>
      <c r="E1090" t="s">
        <v>1447</v>
      </c>
      <c r="F1090" t="s">
        <v>2087</v>
      </c>
      <c r="G1090" t="s">
        <v>1811</v>
      </c>
      <c r="H1090" t="s">
        <v>1799</v>
      </c>
      <c r="I1090">
        <v>18</v>
      </c>
      <c r="J1090" t="s">
        <v>1799</v>
      </c>
      <c r="K1090" t="s">
        <v>1799</v>
      </c>
      <c r="L1090" t="s">
        <v>1799</v>
      </c>
      <c r="M1090" t="s">
        <v>1799</v>
      </c>
      <c r="N1090" t="s">
        <v>1799</v>
      </c>
      <c r="O1090" s="184" t="str">
        <f>"["&amp;$C1090&amp;"]["&amp;$D1090&amp;"]["&amp;$F1090&amp;"]"</f>
        <v>[S05_DefaultValues][197][InstallationNumber]</v>
      </c>
    </row>
    <row r="1091" spans="1:15" x14ac:dyDescent="0.3">
      <c r="A1091" t="s">
        <v>1793</v>
      </c>
      <c r="B1091" t="s">
        <v>1950</v>
      </c>
      <c r="C1091" t="s">
        <v>1959</v>
      </c>
      <c r="D1091">
        <v>198</v>
      </c>
      <c r="E1091" t="s">
        <v>1447</v>
      </c>
      <c r="F1091" t="s">
        <v>2087</v>
      </c>
      <c r="G1091" t="s">
        <v>1811</v>
      </c>
      <c r="H1091" t="s">
        <v>1799</v>
      </c>
      <c r="I1091">
        <v>174</v>
      </c>
      <c r="J1091" t="s">
        <v>1799</v>
      </c>
      <c r="K1091" t="s">
        <v>1799</v>
      </c>
      <c r="L1091" t="s">
        <v>1799</v>
      </c>
      <c r="M1091" t="s">
        <v>1799</v>
      </c>
      <c r="N1091" t="s">
        <v>1799</v>
      </c>
      <c r="O1091" s="184" t="str">
        <f>"["&amp;$C1091&amp;"]["&amp;$D1091&amp;"]["&amp;$F1091&amp;"]"</f>
        <v>[S05_DefaultValues][198][InstallationNumber]</v>
      </c>
    </row>
    <row r="1092" spans="1:15" x14ac:dyDescent="0.3">
      <c r="A1092" t="s">
        <v>1793</v>
      </c>
      <c r="B1092" t="s">
        <v>1950</v>
      </c>
      <c r="C1092" t="s">
        <v>1959</v>
      </c>
      <c r="D1092">
        <v>199</v>
      </c>
      <c r="E1092" t="s">
        <v>1447</v>
      </c>
      <c r="F1092" t="s">
        <v>2087</v>
      </c>
      <c r="G1092" t="s">
        <v>1811</v>
      </c>
      <c r="H1092" t="s">
        <v>1799</v>
      </c>
      <c r="I1092">
        <v>9</v>
      </c>
      <c r="J1092" t="s">
        <v>1799</v>
      </c>
      <c r="K1092" t="s">
        <v>1799</v>
      </c>
      <c r="L1092" t="s">
        <v>1799</v>
      </c>
      <c r="M1092" t="s">
        <v>1799</v>
      </c>
      <c r="N1092" t="s">
        <v>1799</v>
      </c>
      <c r="O1092" s="184" t="str">
        <f>"["&amp;$C1092&amp;"]["&amp;$D1092&amp;"]["&amp;$F1092&amp;"]"</f>
        <v>[S05_DefaultValues][199][InstallationNumber]</v>
      </c>
    </row>
    <row r="1093" spans="1:15" x14ac:dyDescent="0.3">
      <c r="A1093" t="s">
        <v>1793</v>
      </c>
      <c r="B1093" t="s">
        <v>1950</v>
      </c>
      <c r="C1093" t="s">
        <v>1959</v>
      </c>
      <c r="D1093">
        <v>200</v>
      </c>
      <c r="E1093" t="s">
        <v>1447</v>
      </c>
      <c r="F1093" t="s">
        <v>2087</v>
      </c>
      <c r="G1093" t="s">
        <v>1811</v>
      </c>
      <c r="H1093" t="s">
        <v>1799</v>
      </c>
      <c r="I1093">
        <v>3</v>
      </c>
      <c r="J1093" t="s">
        <v>1799</v>
      </c>
      <c r="K1093" t="s">
        <v>1799</v>
      </c>
      <c r="L1093" t="s">
        <v>1799</v>
      </c>
      <c r="M1093" t="s">
        <v>1799</v>
      </c>
      <c r="N1093" t="s">
        <v>1799</v>
      </c>
      <c r="O1093" s="184" t="str">
        <f>"["&amp;$C1093&amp;"]["&amp;$D1093&amp;"]["&amp;$F1093&amp;"]"</f>
        <v>[S05_DefaultValues][200][InstallationNumber]</v>
      </c>
    </row>
    <row r="1094" spans="1:15" x14ac:dyDescent="0.3">
      <c r="A1094" t="s">
        <v>1793</v>
      </c>
      <c r="B1094" t="s">
        <v>1950</v>
      </c>
      <c r="C1094" t="s">
        <v>1959</v>
      </c>
      <c r="D1094">
        <v>201</v>
      </c>
      <c r="E1094" t="s">
        <v>1447</v>
      </c>
      <c r="F1094" t="s">
        <v>2087</v>
      </c>
      <c r="G1094" t="s">
        <v>1811</v>
      </c>
      <c r="H1094" t="s">
        <v>1799</v>
      </c>
      <c r="I1094">
        <v>3</v>
      </c>
      <c r="J1094" t="s">
        <v>1799</v>
      </c>
      <c r="K1094" t="s">
        <v>1799</v>
      </c>
      <c r="L1094" t="s">
        <v>1799</v>
      </c>
      <c r="M1094" t="s">
        <v>1799</v>
      </c>
      <c r="N1094" t="s">
        <v>1799</v>
      </c>
      <c r="O1094" s="184" t="str">
        <f>"["&amp;$C1094&amp;"]["&amp;$D1094&amp;"]["&amp;$F1094&amp;"]"</f>
        <v>[S05_DefaultValues][201][InstallationNumber]</v>
      </c>
    </row>
    <row r="1095" spans="1:15" x14ac:dyDescent="0.3">
      <c r="A1095" t="s">
        <v>1793</v>
      </c>
      <c r="B1095" t="s">
        <v>1950</v>
      </c>
      <c r="C1095" t="s">
        <v>1959</v>
      </c>
      <c r="D1095">
        <v>202</v>
      </c>
      <c r="E1095" t="s">
        <v>1447</v>
      </c>
      <c r="F1095" t="s">
        <v>2087</v>
      </c>
      <c r="G1095" t="s">
        <v>1811</v>
      </c>
      <c r="H1095" t="s">
        <v>1799</v>
      </c>
      <c r="I1095">
        <v>1</v>
      </c>
      <c r="J1095" t="s">
        <v>1799</v>
      </c>
      <c r="K1095" t="s">
        <v>1799</v>
      </c>
      <c r="L1095" t="s">
        <v>1799</v>
      </c>
      <c r="M1095" t="s">
        <v>1799</v>
      </c>
      <c r="N1095" t="s">
        <v>1799</v>
      </c>
      <c r="O1095" s="184" t="str">
        <f>"["&amp;$C1095&amp;"]["&amp;$D1095&amp;"]["&amp;$F1095&amp;"]"</f>
        <v>[S05_DefaultValues][202][InstallationNumber]</v>
      </c>
    </row>
    <row r="1096" spans="1:15" x14ac:dyDescent="0.3">
      <c r="A1096" t="s">
        <v>1793</v>
      </c>
      <c r="B1096" t="s">
        <v>1950</v>
      </c>
      <c r="C1096" t="s">
        <v>1959</v>
      </c>
      <c r="D1096">
        <v>203</v>
      </c>
      <c r="E1096" t="s">
        <v>1447</v>
      </c>
      <c r="F1096" t="s">
        <v>2087</v>
      </c>
      <c r="G1096" t="s">
        <v>1811</v>
      </c>
      <c r="H1096" t="s">
        <v>1799</v>
      </c>
      <c r="I1096">
        <v>12</v>
      </c>
      <c r="J1096" t="s">
        <v>1799</v>
      </c>
      <c r="K1096" t="s">
        <v>1799</v>
      </c>
      <c r="L1096" t="s">
        <v>1799</v>
      </c>
      <c r="M1096" t="s">
        <v>1799</v>
      </c>
      <c r="N1096" t="s">
        <v>1799</v>
      </c>
      <c r="O1096" s="184" t="str">
        <f>"["&amp;$C1096&amp;"]["&amp;$D1096&amp;"]["&amp;$F1096&amp;"]"</f>
        <v>[S05_DefaultValues][203][InstallationNumber]</v>
      </c>
    </row>
    <row r="1097" spans="1:15" x14ac:dyDescent="0.3">
      <c r="A1097" t="s">
        <v>1793</v>
      </c>
      <c r="B1097" t="s">
        <v>1950</v>
      </c>
      <c r="C1097" t="s">
        <v>1959</v>
      </c>
      <c r="D1097">
        <v>204</v>
      </c>
      <c r="E1097" t="s">
        <v>1447</v>
      </c>
      <c r="F1097" t="s">
        <v>2087</v>
      </c>
      <c r="G1097" t="s">
        <v>1811</v>
      </c>
      <c r="H1097" t="s">
        <v>1799</v>
      </c>
      <c r="I1097">
        <v>1</v>
      </c>
      <c r="J1097" t="s">
        <v>1799</v>
      </c>
      <c r="K1097" t="s">
        <v>1799</v>
      </c>
      <c r="L1097" t="s">
        <v>1799</v>
      </c>
      <c r="M1097" t="s">
        <v>1799</v>
      </c>
      <c r="N1097" t="s">
        <v>1799</v>
      </c>
      <c r="O1097" s="184" t="str">
        <f>"["&amp;$C1097&amp;"]["&amp;$D1097&amp;"]["&amp;$F1097&amp;"]"</f>
        <v>[S05_DefaultValues][204][InstallationNumber]</v>
      </c>
    </row>
    <row r="1098" spans="1:15" x14ac:dyDescent="0.3">
      <c r="A1098" t="s">
        <v>1793</v>
      </c>
      <c r="B1098" t="s">
        <v>1950</v>
      </c>
      <c r="C1098" t="s">
        <v>1959</v>
      </c>
      <c r="D1098">
        <v>205</v>
      </c>
      <c r="E1098" t="s">
        <v>1447</v>
      </c>
      <c r="F1098" t="s">
        <v>2087</v>
      </c>
      <c r="G1098" t="s">
        <v>1811</v>
      </c>
      <c r="H1098" t="s">
        <v>1799</v>
      </c>
      <c r="I1098">
        <v>4</v>
      </c>
      <c r="J1098" t="s">
        <v>1799</v>
      </c>
      <c r="K1098" t="s">
        <v>1799</v>
      </c>
      <c r="L1098" t="s">
        <v>1799</v>
      </c>
      <c r="M1098" t="s">
        <v>1799</v>
      </c>
      <c r="N1098" t="s">
        <v>1799</v>
      </c>
      <c r="O1098" s="184" t="str">
        <f>"["&amp;$C1098&amp;"]["&amp;$D1098&amp;"]["&amp;$F1098&amp;"]"</f>
        <v>[S05_DefaultValues][205][InstallationNumber]</v>
      </c>
    </row>
    <row r="1099" spans="1:15" x14ac:dyDescent="0.3">
      <c r="A1099" t="s">
        <v>1793</v>
      </c>
      <c r="B1099" t="s">
        <v>1950</v>
      </c>
      <c r="C1099" t="s">
        <v>1959</v>
      </c>
      <c r="D1099">
        <v>206</v>
      </c>
      <c r="E1099" t="s">
        <v>1447</v>
      </c>
      <c r="F1099" t="s">
        <v>2087</v>
      </c>
      <c r="G1099" t="s">
        <v>1811</v>
      </c>
      <c r="H1099" t="s">
        <v>1799</v>
      </c>
      <c r="I1099">
        <v>1</v>
      </c>
      <c r="J1099" t="s">
        <v>1799</v>
      </c>
      <c r="K1099" t="s">
        <v>1799</v>
      </c>
      <c r="L1099" t="s">
        <v>1799</v>
      </c>
      <c r="M1099" t="s">
        <v>1799</v>
      </c>
      <c r="N1099" t="s">
        <v>1799</v>
      </c>
      <c r="O1099" s="184" t="str">
        <f>"["&amp;$C1099&amp;"]["&amp;$D1099&amp;"]["&amp;$F1099&amp;"]"</f>
        <v>[S05_DefaultValues][206][InstallationNumber]</v>
      </c>
    </row>
    <row r="1100" spans="1:15" x14ac:dyDescent="0.3">
      <c r="A1100" t="s">
        <v>1793</v>
      </c>
      <c r="B1100" t="s">
        <v>1950</v>
      </c>
      <c r="C1100" t="s">
        <v>1959</v>
      </c>
      <c r="D1100">
        <v>207</v>
      </c>
      <c r="E1100" t="s">
        <v>1447</v>
      </c>
      <c r="F1100" t="s">
        <v>2087</v>
      </c>
      <c r="G1100" t="s">
        <v>1811</v>
      </c>
      <c r="H1100" t="s">
        <v>1799</v>
      </c>
      <c r="I1100">
        <v>1</v>
      </c>
      <c r="J1100" t="s">
        <v>1799</v>
      </c>
      <c r="K1100" t="s">
        <v>1799</v>
      </c>
      <c r="L1100" t="s">
        <v>1799</v>
      </c>
      <c r="M1100" t="s">
        <v>1799</v>
      </c>
      <c r="N1100" t="s">
        <v>1799</v>
      </c>
      <c r="O1100" s="184" t="str">
        <f>"["&amp;$C1100&amp;"]["&amp;$D1100&amp;"]["&amp;$F1100&amp;"]"</f>
        <v>[S05_DefaultValues][207][InstallationNumber]</v>
      </c>
    </row>
    <row r="1101" spans="1:15" x14ac:dyDescent="0.3">
      <c r="A1101" t="s">
        <v>1793</v>
      </c>
      <c r="B1101" t="s">
        <v>1950</v>
      </c>
      <c r="C1101" t="s">
        <v>1959</v>
      </c>
      <c r="D1101">
        <v>208</v>
      </c>
      <c r="E1101" t="s">
        <v>1447</v>
      </c>
      <c r="F1101" t="s">
        <v>2087</v>
      </c>
      <c r="G1101" t="s">
        <v>1811</v>
      </c>
      <c r="H1101" t="s">
        <v>1799</v>
      </c>
      <c r="I1101">
        <v>3</v>
      </c>
      <c r="J1101" t="s">
        <v>1799</v>
      </c>
      <c r="K1101" t="s">
        <v>1799</v>
      </c>
      <c r="L1101" t="s">
        <v>1799</v>
      </c>
      <c r="M1101" t="s">
        <v>1799</v>
      </c>
      <c r="N1101" t="s">
        <v>1799</v>
      </c>
      <c r="O1101" s="184" t="str">
        <f>"["&amp;$C1101&amp;"]["&amp;$D1101&amp;"]["&amp;$F1101&amp;"]"</f>
        <v>[S05_DefaultValues][208][InstallationNumber]</v>
      </c>
    </row>
    <row r="1102" spans="1:15" x14ac:dyDescent="0.3">
      <c r="A1102" t="s">
        <v>1793</v>
      </c>
      <c r="B1102" t="s">
        <v>1950</v>
      </c>
      <c r="C1102" t="s">
        <v>1959</v>
      </c>
      <c r="D1102">
        <v>209</v>
      </c>
      <c r="E1102" t="s">
        <v>1447</v>
      </c>
      <c r="F1102" t="s">
        <v>2087</v>
      </c>
      <c r="G1102" t="s">
        <v>1811</v>
      </c>
      <c r="H1102" t="s">
        <v>1799</v>
      </c>
      <c r="I1102">
        <v>4</v>
      </c>
      <c r="J1102" t="s">
        <v>1799</v>
      </c>
      <c r="K1102" t="s">
        <v>1799</v>
      </c>
      <c r="L1102" t="s">
        <v>1799</v>
      </c>
      <c r="M1102" t="s">
        <v>1799</v>
      </c>
      <c r="N1102" t="s">
        <v>1799</v>
      </c>
      <c r="O1102" s="184" t="str">
        <f>"["&amp;$C1102&amp;"]["&amp;$D1102&amp;"]["&amp;$F1102&amp;"]"</f>
        <v>[S05_DefaultValues][209][InstallationNumber]</v>
      </c>
    </row>
    <row r="1103" spans="1:15" x14ac:dyDescent="0.3">
      <c r="A1103" t="s">
        <v>1793</v>
      </c>
      <c r="B1103" t="s">
        <v>1950</v>
      </c>
      <c r="C1103" t="s">
        <v>1959</v>
      </c>
      <c r="D1103">
        <v>210</v>
      </c>
      <c r="E1103" t="s">
        <v>1447</v>
      </c>
      <c r="F1103" t="s">
        <v>2087</v>
      </c>
      <c r="G1103" t="s">
        <v>1811</v>
      </c>
      <c r="H1103" t="s">
        <v>1799</v>
      </c>
      <c r="I1103">
        <v>1</v>
      </c>
      <c r="J1103" t="s">
        <v>1799</v>
      </c>
      <c r="K1103" t="s">
        <v>1799</v>
      </c>
      <c r="L1103" t="s">
        <v>1799</v>
      </c>
      <c r="M1103" t="s">
        <v>1799</v>
      </c>
      <c r="N1103" t="s">
        <v>1799</v>
      </c>
      <c r="O1103" s="184" t="str">
        <f>"["&amp;$C1103&amp;"]["&amp;$D1103&amp;"]["&amp;$F1103&amp;"]"</f>
        <v>[S05_DefaultValues][210][InstallationNumber]</v>
      </c>
    </row>
    <row r="1104" spans="1:15" x14ac:dyDescent="0.3">
      <c r="A1104" t="s">
        <v>1793</v>
      </c>
      <c r="B1104" t="s">
        <v>1950</v>
      </c>
      <c r="C1104" t="s">
        <v>1959</v>
      </c>
      <c r="D1104">
        <v>211</v>
      </c>
      <c r="E1104" t="s">
        <v>1447</v>
      </c>
      <c r="F1104" t="s">
        <v>2087</v>
      </c>
      <c r="G1104" t="s">
        <v>1811</v>
      </c>
      <c r="H1104" t="s">
        <v>1799</v>
      </c>
      <c r="I1104">
        <v>20</v>
      </c>
      <c r="J1104" t="s">
        <v>1799</v>
      </c>
      <c r="K1104" t="s">
        <v>1799</v>
      </c>
      <c r="L1104" t="s">
        <v>1799</v>
      </c>
      <c r="M1104" t="s">
        <v>1799</v>
      </c>
      <c r="N1104" t="s">
        <v>1799</v>
      </c>
      <c r="O1104" s="184" t="str">
        <f>"["&amp;$C1104&amp;"]["&amp;$D1104&amp;"]["&amp;$F1104&amp;"]"</f>
        <v>[S05_DefaultValues][211][InstallationNumber]</v>
      </c>
    </row>
    <row r="1105" spans="1:15" x14ac:dyDescent="0.3">
      <c r="A1105" t="s">
        <v>1793</v>
      </c>
      <c r="B1105" t="s">
        <v>1950</v>
      </c>
      <c r="C1105" t="s">
        <v>1959</v>
      </c>
      <c r="D1105">
        <v>212</v>
      </c>
      <c r="E1105" t="s">
        <v>1447</v>
      </c>
      <c r="F1105" t="s">
        <v>2087</v>
      </c>
      <c r="G1105" t="s">
        <v>1811</v>
      </c>
      <c r="H1105" t="s">
        <v>1799</v>
      </c>
      <c r="I1105">
        <v>10</v>
      </c>
      <c r="J1105" t="s">
        <v>1799</v>
      </c>
      <c r="K1105" t="s">
        <v>1799</v>
      </c>
      <c r="L1105" t="s">
        <v>1799</v>
      </c>
      <c r="M1105" t="s">
        <v>1799</v>
      </c>
      <c r="N1105" t="s">
        <v>1799</v>
      </c>
      <c r="O1105" s="184" t="str">
        <f>"["&amp;$C1105&amp;"]["&amp;$D1105&amp;"]["&amp;$F1105&amp;"]"</f>
        <v>[S05_DefaultValues][212][InstallationNumber]</v>
      </c>
    </row>
    <row r="1106" spans="1:15" x14ac:dyDescent="0.3">
      <c r="A1106" t="s">
        <v>1793</v>
      </c>
      <c r="B1106" t="s">
        <v>1950</v>
      </c>
      <c r="C1106" t="s">
        <v>1959</v>
      </c>
      <c r="D1106">
        <v>213</v>
      </c>
      <c r="E1106" t="s">
        <v>1447</v>
      </c>
      <c r="F1106" t="s">
        <v>2087</v>
      </c>
      <c r="G1106" t="s">
        <v>1811</v>
      </c>
      <c r="H1106" t="s">
        <v>1799</v>
      </c>
      <c r="I1106">
        <v>4</v>
      </c>
      <c r="J1106" t="s">
        <v>1799</v>
      </c>
      <c r="K1106" t="s">
        <v>1799</v>
      </c>
      <c r="L1106" t="s">
        <v>1799</v>
      </c>
      <c r="M1106" t="s">
        <v>1799</v>
      </c>
      <c r="N1106" t="s">
        <v>1799</v>
      </c>
      <c r="O1106" s="184" t="str">
        <f>"["&amp;$C1106&amp;"]["&amp;$D1106&amp;"]["&amp;$F1106&amp;"]"</f>
        <v>[S05_DefaultValues][213][InstallationNumber]</v>
      </c>
    </row>
    <row r="1107" spans="1:15" x14ac:dyDescent="0.3">
      <c r="A1107" t="s">
        <v>1793</v>
      </c>
      <c r="B1107" t="s">
        <v>1950</v>
      </c>
      <c r="C1107" t="s">
        <v>1959</v>
      </c>
      <c r="D1107">
        <v>214</v>
      </c>
      <c r="E1107" t="s">
        <v>1447</v>
      </c>
      <c r="F1107" t="s">
        <v>2087</v>
      </c>
      <c r="G1107" t="s">
        <v>1811</v>
      </c>
      <c r="H1107" t="s">
        <v>1799</v>
      </c>
      <c r="I1107">
        <v>1</v>
      </c>
      <c r="J1107" t="s">
        <v>1799</v>
      </c>
      <c r="K1107" t="s">
        <v>1799</v>
      </c>
      <c r="L1107" t="s">
        <v>1799</v>
      </c>
      <c r="M1107" t="s">
        <v>1799</v>
      </c>
      <c r="N1107" t="s">
        <v>1799</v>
      </c>
      <c r="O1107" s="184" t="str">
        <f>"["&amp;$C1107&amp;"]["&amp;$D1107&amp;"]["&amp;$F1107&amp;"]"</f>
        <v>[S05_DefaultValues][214][InstallationNumber]</v>
      </c>
    </row>
    <row r="1108" spans="1:15" x14ac:dyDescent="0.3">
      <c r="A1108" t="s">
        <v>1793</v>
      </c>
      <c r="B1108" t="s">
        <v>1950</v>
      </c>
      <c r="C1108" t="s">
        <v>1959</v>
      </c>
      <c r="D1108">
        <v>215</v>
      </c>
      <c r="E1108" t="s">
        <v>1447</v>
      </c>
      <c r="F1108" t="s">
        <v>2087</v>
      </c>
      <c r="G1108" t="s">
        <v>1811</v>
      </c>
      <c r="H1108" t="s">
        <v>1799</v>
      </c>
      <c r="I1108">
        <v>1</v>
      </c>
      <c r="J1108" t="s">
        <v>1799</v>
      </c>
      <c r="K1108" t="s">
        <v>1799</v>
      </c>
      <c r="L1108" t="s">
        <v>1799</v>
      </c>
      <c r="M1108" t="s">
        <v>1799</v>
      </c>
      <c r="N1108" t="s">
        <v>1799</v>
      </c>
      <c r="O1108" s="184" t="str">
        <f>"["&amp;$C1108&amp;"]["&amp;$D1108&amp;"]["&amp;$F1108&amp;"]"</f>
        <v>[S05_DefaultValues][215][InstallationNumber]</v>
      </c>
    </row>
    <row r="1109" spans="1:15" x14ac:dyDescent="0.3">
      <c r="A1109" t="s">
        <v>1793</v>
      </c>
      <c r="B1109" t="s">
        <v>1950</v>
      </c>
      <c r="C1109" t="s">
        <v>1959</v>
      </c>
      <c r="D1109">
        <v>216</v>
      </c>
      <c r="E1109" t="s">
        <v>1447</v>
      </c>
      <c r="F1109" t="s">
        <v>2087</v>
      </c>
      <c r="G1109" t="s">
        <v>1811</v>
      </c>
      <c r="H1109" t="s">
        <v>1799</v>
      </c>
      <c r="I1109">
        <v>1</v>
      </c>
      <c r="J1109" t="s">
        <v>1799</v>
      </c>
      <c r="K1109" t="s">
        <v>1799</v>
      </c>
      <c r="L1109" t="s">
        <v>1799</v>
      </c>
      <c r="M1109" t="s">
        <v>1799</v>
      </c>
      <c r="N1109" t="s">
        <v>1799</v>
      </c>
      <c r="O1109" s="184" t="str">
        <f>"["&amp;$C1109&amp;"]["&amp;$D1109&amp;"]["&amp;$F1109&amp;"]"</f>
        <v>[S05_DefaultValues][216][InstallationNumber]</v>
      </c>
    </row>
    <row r="1110" spans="1:15" x14ac:dyDescent="0.3">
      <c r="A1110" t="s">
        <v>1793</v>
      </c>
      <c r="B1110" t="s">
        <v>1950</v>
      </c>
      <c r="C1110" t="s">
        <v>1959</v>
      </c>
      <c r="D1110">
        <v>217</v>
      </c>
      <c r="E1110" t="s">
        <v>1447</v>
      </c>
      <c r="F1110" t="s">
        <v>2087</v>
      </c>
      <c r="G1110" t="s">
        <v>1811</v>
      </c>
      <c r="H1110" t="s">
        <v>1799</v>
      </c>
      <c r="I1110">
        <v>2</v>
      </c>
      <c r="J1110" t="s">
        <v>1799</v>
      </c>
      <c r="K1110" t="s">
        <v>1799</v>
      </c>
      <c r="L1110" t="s">
        <v>1799</v>
      </c>
      <c r="M1110" t="s">
        <v>1799</v>
      </c>
      <c r="N1110" t="s">
        <v>1799</v>
      </c>
      <c r="O1110" s="184" t="str">
        <f>"["&amp;$C1110&amp;"]["&amp;$D1110&amp;"]["&amp;$F1110&amp;"]"</f>
        <v>[S05_DefaultValues][217][InstallationNumber]</v>
      </c>
    </row>
    <row r="1111" spans="1:15" x14ac:dyDescent="0.3">
      <c r="A1111" t="s">
        <v>1793</v>
      </c>
      <c r="B1111" t="s">
        <v>1950</v>
      </c>
      <c r="C1111" t="s">
        <v>1959</v>
      </c>
      <c r="D1111">
        <v>218</v>
      </c>
      <c r="E1111" t="s">
        <v>1447</v>
      </c>
      <c r="F1111" t="s">
        <v>2087</v>
      </c>
      <c r="G1111" t="s">
        <v>1811</v>
      </c>
      <c r="H1111" t="s">
        <v>1799</v>
      </c>
      <c r="I1111">
        <v>2</v>
      </c>
      <c r="J1111" t="s">
        <v>1799</v>
      </c>
      <c r="K1111" t="s">
        <v>1799</v>
      </c>
      <c r="L1111" t="s">
        <v>1799</v>
      </c>
      <c r="M1111" t="s">
        <v>1799</v>
      </c>
      <c r="N1111" t="s">
        <v>1799</v>
      </c>
      <c r="O1111" s="184" t="str">
        <f>"["&amp;$C1111&amp;"]["&amp;$D1111&amp;"]["&amp;$F1111&amp;"]"</f>
        <v>[S05_DefaultValues][218][InstallationNumber]</v>
      </c>
    </row>
    <row r="1112" spans="1:15" x14ac:dyDescent="0.3">
      <c r="A1112" t="s">
        <v>1793</v>
      </c>
      <c r="B1112" t="s">
        <v>1950</v>
      </c>
      <c r="C1112" t="s">
        <v>1959</v>
      </c>
      <c r="D1112">
        <v>219</v>
      </c>
      <c r="E1112" t="s">
        <v>1447</v>
      </c>
      <c r="F1112" t="s">
        <v>2087</v>
      </c>
      <c r="G1112" t="s">
        <v>1811</v>
      </c>
      <c r="H1112" t="s">
        <v>1799</v>
      </c>
      <c r="I1112">
        <v>1</v>
      </c>
      <c r="J1112" t="s">
        <v>1799</v>
      </c>
      <c r="K1112" t="s">
        <v>1799</v>
      </c>
      <c r="L1112" t="s">
        <v>1799</v>
      </c>
      <c r="M1112" t="s">
        <v>1799</v>
      </c>
      <c r="N1112" t="s">
        <v>1799</v>
      </c>
      <c r="O1112" s="184" t="str">
        <f>"["&amp;$C1112&amp;"]["&amp;$D1112&amp;"]["&amp;$F1112&amp;"]"</f>
        <v>[S05_DefaultValues][219][InstallationNumber]</v>
      </c>
    </row>
    <row r="1113" spans="1:15" x14ac:dyDescent="0.3">
      <c r="A1113" t="s">
        <v>1793</v>
      </c>
      <c r="B1113" t="s">
        <v>1950</v>
      </c>
      <c r="C1113" t="s">
        <v>1959</v>
      </c>
      <c r="D1113">
        <v>220</v>
      </c>
      <c r="E1113" t="s">
        <v>1447</v>
      </c>
      <c r="F1113" t="s">
        <v>2087</v>
      </c>
      <c r="G1113" t="s">
        <v>1811</v>
      </c>
      <c r="H1113" t="s">
        <v>1799</v>
      </c>
      <c r="I1113">
        <v>2</v>
      </c>
      <c r="J1113" t="s">
        <v>1799</v>
      </c>
      <c r="K1113" t="s">
        <v>1799</v>
      </c>
      <c r="L1113" t="s">
        <v>1799</v>
      </c>
      <c r="M1113" t="s">
        <v>1799</v>
      </c>
      <c r="N1113" t="s">
        <v>1799</v>
      </c>
      <c r="O1113" s="184" t="str">
        <f>"["&amp;$C1113&amp;"]["&amp;$D1113&amp;"]["&amp;$F1113&amp;"]"</f>
        <v>[S05_DefaultValues][220][InstallationNumber]</v>
      </c>
    </row>
    <row r="1114" spans="1:15" x14ac:dyDescent="0.3">
      <c r="A1114" t="s">
        <v>1793</v>
      </c>
      <c r="B1114" t="s">
        <v>1950</v>
      </c>
      <c r="C1114" t="s">
        <v>1959</v>
      </c>
      <c r="D1114">
        <v>221</v>
      </c>
      <c r="E1114" t="s">
        <v>1447</v>
      </c>
      <c r="F1114" t="s">
        <v>2087</v>
      </c>
      <c r="G1114" t="s">
        <v>1811</v>
      </c>
      <c r="H1114" t="s">
        <v>1799</v>
      </c>
      <c r="I1114">
        <v>1</v>
      </c>
      <c r="J1114" t="s">
        <v>1799</v>
      </c>
      <c r="K1114" t="s">
        <v>1799</v>
      </c>
      <c r="L1114" t="s">
        <v>1799</v>
      </c>
      <c r="M1114" t="s">
        <v>1799</v>
      </c>
      <c r="N1114" t="s">
        <v>1799</v>
      </c>
      <c r="O1114" s="184" t="str">
        <f>"["&amp;$C1114&amp;"]["&amp;$D1114&amp;"]["&amp;$F1114&amp;"]"</f>
        <v>[S05_DefaultValues][221][InstallationNumber]</v>
      </c>
    </row>
    <row r="1115" spans="1:15" x14ac:dyDescent="0.3">
      <c r="A1115" t="s">
        <v>1793</v>
      </c>
      <c r="B1115" t="s">
        <v>1950</v>
      </c>
      <c r="C1115" t="s">
        <v>1959</v>
      </c>
      <c r="D1115">
        <v>222</v>
      </c>
      <c r="E1115" t="s">
        <v>1447</v>
      </c>
      <c r="F1115" t="s">
        <v>2087</v>
      </c>
      <c r="G1115" t="s">
        <v>1811</v>
      </c>
      <c r="H1115" t="s">
        <v>1799</v>
      </c>
      <c r="I1115">
        <v>11</v>
      </c>
      <c r="J1115" t="s">
        <v>1799</v>
      </c>
      <c r="K1115" t="s">
        <v>1799</v>
      </c>
      <c r="L1115" t="s">
        <v>1799</v>
      </c>
      <c r="M1115" t="s">
        <v>1799</v>
      </c>
      <c r="N1115" t="s">
        <v>1799</v>
      </c>
      <c r="O1115" s="184" t="str">
        <f>"["&amp;$C1115&amp;"]["&amp;$D1115&amp;"]["&amp;$F1115&amp;"]"</f>
        <v>[S05_DefaultValues][222][InstallationNumber]</v>
      </c>
    </row>
    <row r="1116" spans="1:15" x14ac:dyDescent="0.3">
      <c r="A1116" t="s">
        <v>1793</v>
      </c>
      <c r="B1116" t="s">
        <v>1950</v>
      </c>
      <c r="C1116" t="s">
        <v>1959</v>
      </c>
      <c r="D1116">
        <v>223</v>
      </c>
      <c r="E1116" t="s">
        <v>1447</v>
      </c>
      <c r="F1116" t="s">
        <v>2087</v>
      </c>
      <c r="G1116" t="s">
        <v>1811</v>
      </c>
      <c r="H1116" t="s">
        <v>1799</v>
      </c>
      <c r="I1116">
        <v>1</v>
      </c>
      <c r="J1116" t="s">
        <v>1799</v>
      </c>
      <c r="K1116" t="s">
        <v>1799</v>
      </c>
      <c r="L1116" t="s">
        <v>1799</v>
      </c>
      <c r="M1116" t="s">
        <v>1799</v>
      </c>
      <c r="N1116" t="s">
        <v>1799</v>
      </c>
      <c r="O1116" s="184" t="str">
        <f>"["&amp;$C1116&amp;"]["&amp;$D1116&amp;"]["&amp;$F1116&amp;"]"</f>
        <v>[S05_DefaultValues][223][InstallationNumber]</v>
      </c>
    </row>
    <row r="1117" spans="1:15" x14ac:dyDescent="0.3">
      <c r="A1117" t="s">
        <v>1793</v>
      </c>
      <c r="B1117" t="s">
        <v>1950</v>
      </c>
      <c r="C1117" t="s">
        <v>1959</v>
      </c>
      <c r="D1117">
        <v>224</v>
      </c>
      <c r="E1117" t="s">
        <v>1447</v>
      </c>
      <c r="F1117" t="s">
        <v>2087</v>
      </c>
      <c r="G1117" t="s">
        <v>1811</v>
      </c>
      <c r="H1117" t="s">
        <v>1799</v>
      </c>
      <c r="I1117">
        <v>1</v>
      </c>
      <c r="J1117" t="s">
        <v>1799</v>
      </c>
      <c r="K1117" t="s">
        <v>1799</v>
      </c>
      <c r="L1117" t="s">
        <v>1799</v>
      </c>
      <c r="M1117" t="s">
        <v>1799</v>
      </c>
      <c r="N1117" t="s">
        <v>1799</v>
      </c>
      <c r="O1117" s="184" t="str">
        <f>"["&amp;$C1117&amp;"]["&amp;$D1117&amp;"]["&amp;$F1117&amp;"]"</f>
        <v>[S05_DefaultValues][224][InstallationNumber]</v>
      </c>
    </row>
    <row r="1118" spans="1:15" x14ac:dyDescent="0.3">
      <c r="A1118" t="s">
        <v>1793</v>
      </c>
      <c r="B1118" t="s">
        <v>1950</v>
      </c>
      <c r="C1118" t="s">
        <v>1959</v>
      </c>
      <c r="D1118">
        <v>225</v>
      </c>
      <c r="E1118" t="s">
        <v>1447</v>
      </c>
      <c r="F1118" t="s">
        <v>2087</v>
      </c>
      <c r="G1118" t="s">
        <v>1811</v>
      </c>
      <c r="H1118" t="s">
        <v>1799</v>
      </c>
      <c r="I1118">
        <v>3</v>
      </c>
      <c r="J1118" t="s">
        <v>1799</v>
      </c>
      <c r="K1118" t="s">
        <v>1799</v>
      </c>
      <c r="L1118" t="s">
        <v>1799</v>
      </c>
      <c r="M1118" t="s">
        <v>1799</v>
      </c>
      <c r="N1118" t="s">
        <v>1799</v>
      </c>
      <c r="O1118" s="184" t="str">
        <f>"["&amp;$C1118&amp;"]["&amp;$D1118&amp;"]["&amp;$F1118&amp;"]"</f>
        <v>[S05_DefaultValues][225][InstallationNumber]</v>
      </c>
    </row>
    <row r="1119" spans="1:15" x14ac:dyDescent="0.3">
      <c r="A1119" t="s">
        <v>1793</v>
      </c>
      <c r="B1119" t="s">
        <v>1950</v>
      </c>
      <c r="C1119" t="s">
        <v>1959</v>
      </c>
      <c r="D1119">
        <v>226</v>
      </c>
      <c r="E1119" t="s">
        <v>1447</v>
      </c>
      <c r="F1119" t="s">
        <v>2087</v>
      </c>
      <c r="G1119" t="s">
        <v>1811</v>
      </c>
      <c r="H1119" t="s">
        <v>1799</v>
      </c>
      <c r="I1119">
        <v>10</v>
      </c>
      <c r="J1119" t="s">
        <v>1799</v>
      </c>
      <c r="K1119" t="s">
        <v>1799</v>
      </c>
      <c r="L1119" t="s">
        <v>1799</v>
      </c>
      <c r="M1119" t="s">
        <v>1799</v>
      </c>
      <c r="N1119" t="s">
        <v>1799</v>
      </c>
      <c r="O1119" s="184" t="str">
        <f>"["&amp;$C1119&amp;"]["&amp;$D1119&amp;"]["&amp;$F1119&amp;"]"</f>
        <v>[S05_DefaultValues][226][InstallationNumber]</v>
      </c>
    </row>
    <row r="1120" spans="1:15" x14ac:dyDescent="0.3">
      <c r="A1120" t="s">
        <v>1793</v>
      </c>
      <c r="B1120" t="s">
        <v>1950</v>
      </c>
      <c r="C1120" t="s">
        <v>1959</v>
      </c>
      <c r="D1120">
        <v>227</v>
      </c>
      <c r="E1120" t="s">
        <v>1447</v>
      </c>
      <c r="F1120" t="s">
        <v>2087</v>
      </c>
      <c r="G1120" t="s">
        <v>1811</v>
      </c>
      <c r="H1120" t="s">
        <v>1799</v>
      </c>
      <c r="I1120">
        <v>2</v>
      </c>
      <c r="J1120" t="s">
        <v>1799</v>
      </c>
      <c r="K1120" t="s">
        <v>1799</v>
      </c>
      <c r="L1120" t="s">
        <v>1799</v>
      </c>
      <c r="M1120" t="s">
        <v>1799</v>
      </c>
      <c r="N1120" t="s">
        <v>1799</v>
      </c>
      <c r="O1120" s="184" t="str">
        <f>"["&amp;$C1120&amp;"]["&amp;$D1120&amp;"]["&amp;$F1120&amp;"]"</f>
        <v>[S05_DefaultValues][227][InstallationNumber]</v>
      </c>
    </row>
    <row r="1121" spans="1:15" x14ac:dyDescent="0.3">
      <c r="A1121" t="s">
        <v>1793</v>
      </c>
      <c r="B1121" t="s">
        <v>1950</v>
      </c>
      <c r="C1121" t="s">
        <v>1959</v>
      </c>
      <c r="D1121">
        <v>228</v>
      </c>
      <c r="E1121" t="s">
        <v>1447</v>
      </c>
      <c r="F1121" t="s">
        <v>2087</v>
      </c>
      <c r="G1121" t="s">
        <v>1811</v>
      </c>
      <c r="H1121" t="s">
        <v>1799</v>
      </c>
      <c r="I1121">
        <v>2</v>
      </c>
      <c r="J1121" t="s">
        <v>1799</v>
      </c>
      <c r="K1121" t="s">
        <v>1799</v>
      </c>
      <c r="L1121" t="s">
        <v>1799</v>
      </c>
      <c r="M1121" t="s">
        <v>1799</v>
      </c>
      <c r="N1121" t="s">
        <v>1799</v>
      </c>
      <c r="O1121" s="184" t="str">
        <f>"["&amp;$C1121&amp;"]["&amp;$D1121&amp;"]["&amp;$F1121&amp;"]"</f>
        <v>[S05_DefaultValues][228][InstallationNumber]</v>
      </c>
    </row>
    <row r="1122" spans="1:15" x14ac:dyDescent="0.3">
      <c r="A1122" t="s">
        <v>1793</v>
      </c>
      <c r="B1122" t="s">
        <v>1950</v>
      </c>
      <c r="C1122" t="s">
        <v>1959</v>
      </c>
      <c r="D1122">
        <v>229</v>
      </c>
      <c r="E1122" t="s">
        <v>1447</v>
      </c>
      <c r="F1122" t="s">
        <v>2087</v>
      </c>
      <c r="G1122" t="s">
        <v>1811</v>
      </c>
      <c r="H1122" t="s">
        <v>1799</v>
      </c>
      <c r="I1122">
        <v>5</v>
      </c>
      <c r="J1122" t="s">
        <v>1799</v>
      </c>
      <c r="K1122" t="s">
        <v>1799</v>
      </c>
      <c r="L1122" t="s">
        <v>1799</v>
      </c>
      <c r="M1122" t="s">
        <v>1799</v>
      </c>
      <c r="N1122" t="s">
        <v>1799</v>
      </c>
      <c r="O1122" s="184" t="str">
        <f>"["&amp;$C1122&amp;"]["&amp;$D1122&amp;"]["&amp;$F1122&amp;"]"</f>
        <v>[S05_DefaultValues][229][InstallationNumber]</v>
      </c>
    </row>
    <row r="1123" spans="1:15" x14ac:dyDescent="0.3">
      <c r="A1123" t="s">
        <v>1793</v>
      </c>
      <c r="B1123" t="s">
        <v>1950</v>
      </c>
      <c r="C1123" t="s">
        <v>1959</v>
      </c>
      <c r="D1123">
        <v>230</v>
      </c>
      <c r="E1123" t="s">
        <v>1447</v>
      </c>
      <c r="F1123" t="s">
        <v>2087</v>
      </c>
      <c r="G1123" t="s">
        <v>1811</v>
      </c>
      <c r="H1123" t="s">
        <v>1799</v>
      </c>
      <c r="I1123">
        <v>1</v>
      </c>
      <c r="J1123" t="s">
        <v>1799</v>
      </c>
      <c r="K1123" t="s">
        <v>1799</v>
      </c>
      <c r="L1123" t="s">
        <v>1799</v>
      </c>
      <c r="M1123" t="s">
        <v>1799</v>
      </c>
      <c r="N1123" t="s">
        <v>1799</v>
      </c>
      <c r="O1123" s="184" t="str">
        <f>"["&amp;$C1123&amp;"]["&amp;$D1123&amp;"]["&amp;$F1123&amp;"]"</f>
        <v>[S05_DefaultValues][230][InstallationNumber]</v>
      </c>
    </row>
    <row r="1124" spans="1:15" x14ac:dyDescent="0.3">
      <c r="A1124" t="s">
        <v>1793</v>
      </c>
      <c r="B1124" t="s">
        <v>1950</v>
      </c>
      <c r="C1124" t="s">
        <v>1959</v>
      </c>
      <c r="D1124">
        <v>231</v>
      </c>
      <c r="E1124" t="s">
        <v>1447</v>
      </c>
      <c r="F1124" t="s">
        <v>2087</v>
      </c>
      <c r="G1124" t="s">
        <v>1811</v>
      </c>
      <c r="H1124" t="s">
        <v>1799</v>
      </c>
      <c r="I1124">
        <v>3</v>
      </c>
      <c r="J1124" t="s">
        <v>1799</v>
      </c>
      <c r="K1124" t="s">
        <v>1799</v>
      </c>
      <c r="L1124" t="s">
        <v>1799</v>
      </c>
      <c r="M1124" t="s">
        <v>1799</v>
      </c>
      <c r="N1124" t="s">
        <v>1799</v>
      </c>
      <c r="O1124" s="184" t="str">
        <f>"["&amp;$C1124&amp;"]["&amp;$D1124&amp;"]["&amp;$F1124&amp;"]"</f>
        <v>[S05_DefaultValues][231][InstallationNumber]</v>
      </c>
    </row>
    <row r="1125" spans="1:15" x14ac:dyDescent="0.3">
      <c r="A1125" t="s">
        <v>1793</v>
      </c>
      <c r="B1125" t="s">
        <v>1950</v>
      </c>
      <c r="C1125" t="s">
        <v>1959</v>
      </c>
      <c r="D1125">
        <v>232</v>
      </c>
      <c r="E1125" t="s">
        <v>1447</v>
      </c>
      <c r="F1125" t="s">
        <v>2087</v>
      </c>
      <c r="G1125" t="s">
        <v>1811</v>
      </c>
      <c r="H1125" t="s">
        <v>1799</v>
      </c>
      <c r="I1125">
        <v>11</v>
      </c>
      <c r="J1125" t="s">
        <v>1799</v>
      </c>
      <c r="K1125" t="s">
        <v>1799</v>
      </c>
      <c r="L1125" t="s">
        <v>1799</v>
      </c>
      <c r="M1125" t="s">
        <v>1799</v>
      </c>
      <c r="N1125" t="s">
        <v>1799</v>
      </c>
      <c r="O1125" s="184" t="str">
        <f>"["&amp;$C1125&amp;"]["&amp;$D1125&amp;"]["&amp;$F1125&amp;"]"</f>
        <v>[S05_DefaultValues][232][InstallationNumber]</v>
      </c>
    </row>
    <row r="1126" spans="1:15" x14ac:dyDescent="0.3">
      <c r="A1126" t="s">
        <v>1793</v>
      </c>
      <c r="B1126" t="s">
        <v>1950</v>
      </c>
      <c r="C1126" t="s">
        <v>1959</v>
      </c>
      <c r="D1126">
        <v>233</v>
      </c>
      <c r="E1126" t="s">
        <v>1447</v>
      </c>
      <c r="F1126" t="s">
        <v>2087</v>
      </c>
      <c r="G1126" t="s">
        <v>1811</v>
      </c>
      <c r="H1126" t="s">
        <v>1799</v>
      </c>
      <c r="I1126">
        <v>1</v>
      </c>
      <c r="J1126" t="s">
        <v>1799</v>
      </c>
      <c r="K1126" t="s">
        <v>1799</v>
      </c>
      <c r="L1126" t="s">
        <v>1799</v>
      </c>
      <c r="M1126" t="s">
        <v>1799</v>
      </c>
      <c r="N1126" t="s">
        <v>1799</v>
      </c>
      <c r="O1126" s="184" t="str">
        <f>"["&amp;$C1126&amp;"]["&amp;$D1126&amp;"]["&amp;$F1126&amp;"]"</f>
        <v>[S05_DefaultValues][233][InstallationNumber]</v>
      </c>
    </row>
    <row r="1127" spans="1:15" x14ac:dyDescent="0.3">
      <c r="A1127" t="s">
        <v>1793</v>
      </c>
      <c r="B1127" t="s">
        <v>1950</v>
      </c>
      <c r="C1127" t="s">
        <v>1959</v>
      </c>
      <c r="D1127">
        <v>234</v>
      </c>
      <c r="E1127" t="s">
        <v>1447</v>
      </c>
      <c r="F1127" t="s">
        <v>2087</v>
      </c>
      <c r="G1127" t="s">
        <v>1811</v>
      </c>
      <c r="H1127" t="s">
        <v>1799</v>
      </c>
      <c r="I1127">
        <v>3</v>
      </c>
      <c r="J1127" t="s">
        <v>1799</v>
      </c>
      <c r="K1127" t="s">
        <v>1799</v>
      </c>
      <c r="L1127" t="s">
        <v>1799</v>
      </c>
      <c r="M1127" t="s">
        <v>1799</v>
      </c>
      <c r="N1127" t="s">
        <v>1799</v>
      </c>
      <c r="O1127" s="184" t="str">
        <f>"["&amp;$C1127&amp;"]["&amp;$D1127&amp;"]["&amp;$F1127&amp;"]"</f>
        <v>[S05_DefaultValues][234][InstallationNumber]</v>
      </c>
    </row>
    <row r="1128" spans="1:15" x14ac:dyDescent="0.3">
      <c r="A1128" t="s">
        <v>1793</v>
      </c>
      <c r="B1128" t="s">
        <v>1950</v>
      </c>
      <c r="C1128" t="s">
        <v>1959</v>
      </c>
      <c r="D1128">
        <v>235</v>
      </c>
      <c r="E1128" t="s">
        <v>1447</v>
      </c>
      <c r="F1128" t="s">
        <v>2087</v>
      </c>
      <c r="G1128" t="s">
        <v>1811</v>
      </c>
      <c r="H1128" t="s">
        <v>1799</v>
      </c>
      <c r="I1128">
        <v>2</v>
      </c>
      <c r="J1128" t="s">
        <v>1799</v>
      </c>
      <c r="K1128" t="s">
        <v>1799</v>
      </c>
      <c r="L1128" t="s">
        <v>1799</v>
      </c>
      <c r="M1128" t="s">
        <v>1799</v>
      </c>
      <c r="N1128" t="s">
        <v>1799</v>
      </c>
      <c r="O1128" s="184" t="str">
        <f>"["&amp;$C1128&amp;"]["&amp;$D1128&amp;"]["&amp;$F1128&amp;"]"</f>
        <v>[S05_DefaultValues][235][InstallationNumber]</v>
      </c>
    </row>
    <row r="1129" spans="1:15" x14ac:dyDescent="0.3">
      <c r="A1129" t="s">
        <v>1793</v>
      </c>
      <c r="B1129" t="s">
        <v>1950</v>
      </c>
      <c r="C1129" t="s">
        <v>1959</v>
      </c>
      <c r="D1129">
        <v>236</v>
      </c>
      <c r="E1129" t="s">
        <v>1447</v>
      </c>
      <c r="F1129" t="s">
        <v>2087</v>
      </c>
      <c r="G1129" t="s">
        <v>1811</v>
      </c>
      <c r="H1129" t="s">
        <v>1799</v>
      </c>
      <c r="I1129">
        <v>2</v>
      </c>
      <c r="J1129" t="s">
        <v>1799</v>
      </c>
      <c r="K1129" t="s">
        <v>1799</v>
      </c>
      <c r="L1129" t="s">
        <v>1799</v>
      </c>
      <c r="M1129" t="s">
        <v>1799</v>
      </c>
      <c r="N1129" t="s">
        <v>1799</v>
      </c>
      <c r="O1129" s="184" t="str">
        <f>"["&amp;$C1129&amp;"]["&amp;$D1129&amp;"]["&amp;$F1129&amp;"]"</f>
        <v>[S05_DefaultValues][236][InstallationNumber]</v>
      </c>
    </row>
    <row r="1130" spans="1:15" x14ac:dyDescent="0.3">
      <c r="A1130" t="s">
        <v>1793</v>
      </c>
      <c r="B1130" t="s">
        <v>1950</v>
      </c>
      <c r="C1130" t="s">
        <v>1959</v>
      </c>
      <c r="D1130">
        <v>237</v>
      </c>
      <c r="E1130" t="s">
        <v>1447</v>
      </c>
      <c r="F1130" t="s">
        <v>2087</v>
      </c>
      <c r="G1130" t="s">
        <v>1811</v>
      </c>
      <c r="H1130" t="s">
        <v>1799</v>
      </c>
      <c r="I1130">
        <v>1</v>
      </c>
      <c r="J1130" t="s">
        <v>1799</v>
      </c>
      <c r="K1130" t="s">
        <v>1799</v>
      </c>
      <c r="L1130" t="s">
        <v>1799</v>
      </c>
      <c r="M1130" t="s">
        <v>1799</v>
      </c>
      <c r="N1130" t="s">
        <v>1799</v>
      </c>
      <c r="O1130" s="184" t="str">
        <f>"["&amp;$C1130&amp;"]["&amp;$D1130&amp;"]["&amp;$F1130&amp;"]"</f>
        <v>[S05_DefaultValues][237][InstallationNumber]</v>
      </c>
    </row>
    <row r="1131" spans="1:15" x14ac:dyDescent="0.3">
      <c r="A1131" t="s">
        <v>1793</v>
      </c>
      <c r="B1131" t="s">
        <v>1950</v>
      </c>
      <c r="C1131" t="s">
        <v>1959</v>
      </c>
      <c r="D1131">
        <v>238</v>
      </c>
      <c r="E1131" t="s">
        <v>1447</v>
      </c>
      <c r="F1131" t="s">
        <v>2087</v>
      </c>
      <c r="G1131" t="s">
        <v>1811</v>
      </c>
      <c r="H1131" t="s">
        <v>1799</v>
      </c>
      <c r="I1131">
        <v>1</v>
      </c>
      <c r="J1131" t="s">
        <v>1799</v>
      </c>
      <c r="K1131" t="s">
        <v>1799</v>
      </c>
      <c r="L1131" t="s">
        <v>1799</v>
      </c>
      <c r="M1131" t="s">
        <v>1799</v>
      </c>
      <c r="N1131" t="s">
        <v>1799</v>
      </c>
      <c r="O1131" s="184" t="str">
        <f>"["&amp;$C1131&amp;"]["&amp;$D1131&amp;"]["&amp;$F1131&amp;"]"</f>
        <v>[S05_DefaultValues][238][InstallationNumber]</v>
      </c>
    </row>
    <row r="1132" spans="1:15" x14ac:dyDescent="0.3">
      <c r="A1132" t="s">
        <v>1793</v>
      </c>
      <c r="B1132" t="s">
        <v>1950</v>
      </c>
      <c r="C1132" t="s">
        <v>1959</v>
      </c>
      <c r="D1132">
        <v>239</v>
      </c>
      <c r="E1132" t="s">
        <v>1447</v>
      </c>
      <c r="F1132" t="s">
        <v>2087</v>
      </c>
      <c r="G1132" t="s">
        <v>1811</v>
      </c>
      <c r="H1132" t="s">
        <v>1799</v>
      </c>
      <c r="I1132">
        <v>2</v>
      </c>
      <c r="J1132" t="s">
        <v>1799</v>
      </c>
      <c r="K1132" t="s">
        <v>1799</v>
      </c>
      <c r="L1132" t="s">
        <v>1799</v>
      </c>
      <c r="M1132" t="s">
        <v>1799</v>
      </c>
      <c r="N1132" t="s">
        <v>1799</v>
      </c>
      <c r="O1132" s="184" t="str">
        <f>"["&amp;$C1132&amp;"]["&amp;$D1132&amp;"]["&amp;$F1132&amp;"]"</f>
        <v>[S05_DefaultValues][239][InstallationNumber]</v>
      </c>
    </row>
    <row r="1133" spans="1:15" x14ac:dyDescent="0.3">
      <c r="A1133" t="s">
        <v>1793</v>
      </c>
      <c r="B1133" t="s">
        <v>1950</v>
      </c>
      <c r="C1133" t="s">
        <v>1959</v>
      </c>
      <c r="D1133">
        <v>240</v>
      </c>
      <c r="E1133" t="s">
        <v>1447</v>
      </c>
      <c r="F1133" t="s">
        <v>2087</v>
      </c>
      <c r="G1133" t="s">
        <v>1811</v>
      </c>
      <c r="H1133" t="s">
        <v>1799</v>
      </c>
      <c r="I1133">
        <v>1</v>
      </c>
      <c r="J1133" t="s">
        <v>1799</v>
      </c>
      <c r="K1133" t="s">
        <v>1799</v>
      </c>
      <c r="L1133" t="s">
        <v>1799</v>
      </c>
      <c r="M1133" t="s">
        <v>1799</v>
      </c>
      <c r="N1133" t="s">
        <v>1799</v>
      </c>
      <c r="O1133" s="184" t="str">
        <f>"["&amp;$C1133&amp;"]["&amp;$D1133&amp;"]["&amp;$F1133&amp;"]"</f>
        <v>[S05_DefaultValues][240][InstallationNumber]</v>
      </c>
    </row>
    <row r="1134" spans="1:15" x14ac:dyDescent="0.3">
      <c r="A1134" t="s">
        <v>1793</v>
      </c>
      <c r="B1134" t="s">
        <v>1950</v>
      </c>
      <c r="C1134" t="s">
        <v>1959</v>
      </c>
      <c r="D1134">
        <v>241</v>
      </c>
      <c r="E1134" t="s">
        <v>1447</v>
      </c>
      <c r="F1134" t="s">
        <v>2087</v>
      </c>
      <c r="G1134" t="s">
        <v>1811</v>
      </c>
      <c r="H1134" t="s">
        <v>1799</v>
      </c>
      <c r="I1134">
        <v>3</v>
      </c>
      <c r="J1134" t="s">
        <v>1799</v>
      </c>
      <c r="K1134" t="s">
        <v>1799</v>
      </c>
      <c r="L1134" t="s">
        <v>1799</v>
      </c>
      <c r="M1134" t="s">
        <v>1799</v>
      </c>
      <c r="N1134" t="s">
        <v>1799</v>
      </c>
      <c r="O1134" s="184" t="str">
        <f>"["&amp;$C1134&amp;"]["&amp;$D1134&amp;"]["&amp;$F1134&amp;"]"</f>
        <v>[S05_DefaultValues][241][InstallationNumber]</v>
      </c>
    </row>
    <row r="1135" spans="1:15" x14ac:dyDescent="0.3">
      <c r="A1135" t="s">
        <v>1793</v>
      </c>
      <c r="B1135" t="s">
        <v>1950</v>
      </c>
      <c r="C1135" t="s">
        <v>1959</v>
      </c>
      <c r="D1135">
        <v>242</v>
      </c>
      <c r="E1135" t="s">
        <v>1447</v>
      </c>
      <c r="F1135" t="s">
        <v>2087</v>
      </c>
      <c r="G1135" t="s">
        <v>1811</v>
      </c>
      <c r="H1135" t="s">
        <v>1799</v>
      </c>
      <c r="I1135">
        <v>32</v>
      </c>
      <c r="J1135" t="s">
        <v>1799</v>
      </c>
      <c r="K1135" t="s">
        <v>1799</v>
      </c>
      <c r="L1135" t="s">
        <v>1799</v>
      </c>
      <c r="M1135" t="s">
        <v>1799</v>
      </c>
      <c r="N1135" t="s">
        <v>1799</v>
      </c>
      <c r="O1135" s="184" t="str">
        <f>"["&amp;$C1135&amp;"]["&amp;$D1135&amp;"]["&amp;$F1135&amp;"]"</f>
        <v>[S05_DefaultValues][242][InstallationNumber]</v>
      </c>
    </row>
    <row r="1136" spans="1:15" x14ac:dyDescent="0.3">
      <c r="A1136" t="s">
        <v>1793</v>
      </c>
      <c r="B1136" t="s">
        <v>1950</v>
      </c>
      <c r="C1136" t="s">
        <v>1959</v>
      </c>
      <c r="D1136">
        <v>243</v>
      </c>
      <c r="E1136" t="s">
        <v>1447</v>
      </c>
      <c r="F1136" t="s">
        <v>2087</v>
      </c>
      <c r="G1136" t="s">
        <v>1811</v>
      </c>
      <c r="H1136" t="s">
        <v>1799</v>
      </c>
      <c r="I1136">
        <v>2</v>
      </c>
      <c r="J1136" t="s">
        <v>1799</v>
      </c>
      <c r="K1136" t="s">
        <v>1799</v>
      </c>
      <c r="L1136" t="s">
        <v>1799</v>
      </c>
      <c r="M1136" t="s">
        <v>1799</v>
      </c>
      <c r="N1136" t="s">
        <v>1799</v>
      </c>
      <c r="O1136" s="184" t="str">
        <f>"["&amp;$C1136&amp;"]["&amp;$D1136&amp;"]["&amp;$F1136&amp;"]"</f>
        <v>[S05_DefaultValues][243][InstallationNumber]</v>
      </c>
    </row>
    <row r="1137" spans="1:15" x14ac:dyDescent="0.3">
      <c r="A1137" t="s">
        <v>1793</v>
      </c>
      <c r="B1137" t="s">
        <v>1950</v>
      </c>
      <c r="C1137" t="s">
        <v>1959</v>
      </c>
      <c r="D1137">
        <v>244</v>
      </c>
      <c r="E1137" t="s">
        <v>1447</v>
      </c>
      <c r="F1137" t="s">
        <v>2087</v>
      </c>
      <c r="G1137" t="s">
        <v>1811</v>
      </c>
      <c r="H1137" t="s">
        <v>1799</v>
      </c>
      <c r="I1137">
        <v>2</v>
      </c>
      <c r="J1137" t="s">
        <v>1799</v>
      </c>
      <c r="K1137" t="s">
        <v>1799</v>
      </c>
      <c r="L1137" t="s">
        <v>1799</v>
      </c>
      <c r="M1137" t="s">
        <v>1799</v>
      </c>
      <c r="N1137" t="s">
        <v>1799</v>
      </c>
      <c r="O1137" s="184" t="str">
        <f>"["&amp;$C1137&amp;"]["&amp;$D1137&amp;"]["&amp;$F1137&amp;"]"</f>
        <v>[S05_DefaultValues][244][InstallationNumber]</v>
      </c>
    </row>
    <row r="1138" spans="1:15" x14ac:dyDescent="0.3">
      <c r="A1138" t="s">
        <v>1793</v>
      </c>
      <c r="B1138" t="s">
        <v>1950</v>
      </c>
      <c r="C1138" t="s">
        <v>1959</v>
      </c>
      <c r="D1138">
        <v>245</v>
      </c>
      <c r="E1138" t="s">
        <v>1447</v>
      </c>
      <c r="F1138" t="s">
        <v>2087</v>
      </c>
      <c r="G1138" t="s">
        <v>1811</v>
      </c>
      <c r="H1138" t="s">
        <v>1799</v>
      </c>
      <c r="I1138">
        <v>1</v>
      </c>
      <c r="J1138" t="s">
        <v>1799</v>
      </c>
      <c r="K1138" t="s">
        <v>1799</v>
      </c>
      <c r="L1138" t="s">
        <v>1799</v>
      </c>
      <c r="M1138" t="s">
        <v>1799</v>
      </c>
      <c r="N1138" t="s">
        <v>1799</v>
      </c>
      <c r="O1138" s="184" t="str">
        <f>"["&amp;$C1138&amp;"]["&amp;$D1138&amp;"]["&amp;$F1138&amp;"]"</f>
        <v>[S05_DefaultValues][245][InstallationNumber]</v>
      </c>
    </row>
    <row r="1139" spans="1:15" x14ac:dyDescent="0.3">
      <c r="A1139" t="s">
        <v>1793</v>
      </c>
      <c r="B1139" t="s">
        <v>1950</v>
      </c>
      <c r="C1139" t="s">
        <v>1959</v>
      </c>
      <c r="D1139">
        <v>246</v>
      </c>
      <c r="E1139" t="s">
        <v>1447</v>
      </c>
      <c r="F1139" t="s">
        <v>2087</v>
      </c>
      <c r="G1139" t="s">
        <v>1811</v>
      </c>
      <c r="H1139" t="s">
        <v>1799</v>
      </c>
      <c r="I1139">
        <v>77</v>
      </c>
      <c r="J1139" t="s">
        <v>1799</v>
      </c>
      <c r="K1139" t="s">
        <v>1799</v>
      </c>
      <c r="L1139" t="s">
        <v>1799</v>
      </c>
      <c r="M1139" t="s">
        <v>1799</v>
      </c>
      <c r="N1139" t="s">
        <v>1799</v>
      </c>
      <c r="O1139" s="184" t="str">
        <f>"["&amp;$C1139&amp;"]["&amp;$D1139&amp;"]["&amp;$F1139&amp;"]"</f>
        <v>[S05_DefaultValues][246][InstallationNumber]</v>
      </c>
    </row>
    <row r="1140" spans="1:15" x14ac:dyDescent="0.3">
      <c r="A1140" t="s">
        <v>1793</v>
      </c>
      <c r="B1140" t="s">
        <v>1950</v>
      </c>
      <c r="C1140" t="s">
        <v>1959</v>
      </c>
      <c r="D1140">
        <v>247</v>
      </c>
      <c r="E1140" t="s">
        <v>1447</v>
      </c>
      <c r="F1140" t="s">
        <v>2087</v>
      </c>
      <c r="G1140" t="s">
        <v>1811</v>
      </c>
      <c r="H1140" t="s">
        <v>1799</v>
      </c>
      <c r="I1140">
        <v>1</v>
      </c>
      <c r="J1140" t="s">
        <v>1799</v>
      </c>
      <c r="K1140" t="s">
        <v>1799</v>
      </c>
      <c r="L1140" t="s">
        <v>1799</v>
      </c>
      <c r="M1140" t="s">
        <v>1799</v>
      </c>
      <c r="N1140" t="s">
        <v>1799</v>
      </c>
      <c r="O1140" s="184" t="str">
        <f>"["&amp;$C1140&amp;"]["&amp;$D1140&amp;"]["&amp;$F1140&amp;"]"</f>
        <v>[S05_DefaultValues][247][InstallationNumber]</v>
      </c>
    </row>
    <row r="1141" spans="1:15" x14ac:dyDescent="0.3">
      <c r="A1141" t="s">
        <v>1793</v>
      </c>
      <c r="B1141" t="s">
        <v>1950</v>
      </c>
      <c r="C1141" t="s">
        <v>1959</v>
      </c>
      <c r="D1141">
        <v>248</v>
      </c>
      <c r="E1141" t="s">
        <v>1447</v>
      </c>
      <c r="F1141" t="s">
        <v>2087</v>
      </c>
      <c r="G1141" t="s">
        <v>1811</v>
      </c>
      <c r="H1141" t="s">
        <v>1799</v>
      </c>
      <c r="I1141">
        <v>1</v>
      </c>
      <c r="J1141" t="s">
        <v>1799</v>
      </c>
      <c r="K1141" t="s">
        <v>1799</v>
      </c>
      <c r="L1141" t="s">
        <v>1799</v>
      </c>
      <c r="M1141" t="s">
        <v>1799</v>
      </c>
      <c r="N1141" t="s">
        <v>1799</v>
      </c>
      <c r="O1141" s="184" t="str">
        <f>"["&amp;$C1141&amp;"]["&amp;$D1141&amp;"]["&amp;$F1141&amp;"]"</f>
        <v>[S05_DefaultValues][248][InstallationNumber]</v>
      </c>
    </row>
    <row r="1142" spans="1:15" x14ac:dyDescent="0.3">
      <c r="A1142" t="s">
        <v>1793</v>
      </c>
      <c r="B1142" t="s">
        <v>1950</v>
      </c>
      <c r="C1142" t="s">
        <v>1959</v>
      </c>
      <c r="D1142">
        <v>249</v>
      </c>
      <c r="E1142" t="s">
        <v>1447</v>
      </c>
      <c r="F1142" t="s">
        <v>2087</v>
      </c>
      <c r="G1142" t="s">
        <v>1811</v>
      </c>
      <c r="H1142" t="s">
        <v>1799</v>
      </c>
      <c r="I1142">
        <v>1</v>
      </c>
      <c r="J1142" t="s">
        <v>1799</v>
      </c>
      <c r="K1142" t="s">
        <v>1799</v>
      </c>
      <c r="L1142" t="s">
        <v>1799</v>
      </c>
      <c r="M1142" t="s">
        <v>1799</v>
      </c>
      <c r="N1142" t="s">
        <v>1799</v>
      </c>
      <c r="O1142" s="184" t="str">
        <f>"["&amp;$C1142&amp;"]["&amp;$D1142&amp;"]["&amp;$F1142&amp;"]"</f>
        <v>[S05_DefaultValues][249][InstallationNumber]</v>
      </c>
    </row>
    <row r="1143" spans="1:15" x14ac:dyDescent="0.3">
      <c r="A1143" t="s">
        <v>1793</v>
      </c>
      <c r="B1143" t="s">
        <v>1950</v>
      </c>
      <c r="C1143" t="s">
        <v>1959</v>
      </c>
      <c r="D1143">
        <v>250</v>
      </c>
      <c r="E1143" t="s">
        <v>1447</v>
      </c>
      <c r="F1143" t="s">
        <v>2087</v>
      </c>
      <c r="G1143" t="s">
        <v>1811</v>
      </c>
      <c r="H1143" t="s">
        <v>1799</v>
      </c>
      <c r="I1143">
        <v>3</v>
      </c>
      <c r="J1143" t="s">
        <v>1799</v>
      </c>
      <c r="K1143" t="s">
        <v>1799</v>
      </c>
      <c r="L1143" t="s">
        <v>1799</v>
      </c>
      <c r="M1143" t="s">
        <v>1799</v>
      </c>
      <c r="N1143" t="s">
        <v>1799</v>
      </c>
      <c r="O1143" s="184" t="str">
        <f>"["&amp;$C1143&amp;"]["&amp;$D1143&amp;"]["&amp;$F1143&amp;"]"</f>
        <v>[S05_DefaultValues][250][InstallationNumber]</v>
      </c>
    </row>
    <row r="1144" spans="1:15" x14ac:dyDescent="0.3">
      <c r="A1144" t="s">
        <v>1793</v>
      </c>
      <c r="B1144" t="s">
        <v>1950</v>
      </c>
      <c r="C1144" t="s">
        <v>1959</v>
      </c>
      <c r="D1144">
        <v>251</v>
      </c>
      <c r="E1144" t="s">
        <v>1447</v>
      </c>
      <c r="F1144" t="s">
        <v>2087</v>
      </c>
      <c r="G1144" t="s">
        <v>1811</v>
      </c>
      <c r="H1144" t="s">
        <v>1799</v>
      </c>
      <c r="I1144">
        <v>23</v>
      </c>
      <c r="J1144" t="s">
        <v>1799</v>
      </c>
      <c r="K1144" t="s">
        <v>1799</v>
      </c>
      <c r="L1144" t="s">
        <v>1799</v>
      </c>
      <c r="M1144" t="s">
        <v>1799</v>
      </c>
      <c r="N1144" t="s">
        <v>1799</v>
      </c>
      <c r="O1144" s="184" t="str">
        <f>"["&amp;$C1144&amp;"]["&amp;$D1144&amp;"]["&amp;$F1144&amp;"]"</f>
        <v>[S05_DefaultValues][251][InstallationNumber]</v>
      </c>
    </row>
    <row r="1145" spans="1:15" x14ac:dyDescent="0.3">
      <c r="A1145" t="s">
        <v>1793</v>
      </c>
      <c r="B1145" t="s">
        <v>1950</v>
      </c>
      <c r="C1145" t="s">
        <v>1959</v>
      </c>
      <c r="D1145">
        <v>252</v>
      </c>
      <c r="E1145" t="s">
        <v>1447</v>
      </c>
      <c r="F1145" t="s">
        <v>2087</v>
      </c>
      <c r="G1145" t="s">
        <v>1811</v>
      </c>
      <c r="H1145" t="s">
        <v>1799</v>
      </c>
      <c r="I1145">
        <v>1</v>
      </c>
      <c r="J1145" t="s">
        <v>1799</v>
      </c>
      <c r="K1145" t="s">
        <v>1799</v>
      </c>
      <c r="L1145" t="s">
        <v>1799</v>
      </c>
      <c r="M1145" t="s">
        <v>1799</v>
      </c>
      <c r="N1145" t="s">
        <v>1799</v>
      </c>
      <c r="O1145" s="184" t="str">
        <f>"["&amp;$C1145&amp;"]["&amp;$D1145&amp;"]["&amp;$F1145&amp;"]"</f>
        <v>[S05_DefaultValues][252][InstallationNumber]</v>
      </c>
    </row>
    <row r="1146" spans="1:15" x14ac:dyDescent="0.3">
      <c r="A1146" t="s">
        <v>1793</v>
      </c>
      <c r="B1146" t="s">
        <v>1950</v>
      </c>
      <c r="C1146" t="s">
        <v>1959</v>
      </c>
      <c r="D1146">
        <v>253</v>
      </c>
      <c r="E1146" t="s">
        <v>1447</v>
      </c>
      <c r="F1146" t="s">
        <v>2087</v>
      </c>
      <c r="G1146" t="s">
        <v>1811</v>
      </c>
      <c r="H1146" t="s">
        <v>1799</v>
      </c>
      <c r="I1146">
        <v>4</v>
      </c>
      <c r="J1146" t="s">
        <v>1799</v>
      </c>
      <c r="K1146" t="s">
        <v>1799</v>
      </c>
      <c r="L1146" t="s">
        <v>1799</v>
      </c>
      <c r="M1146" t="s">
        <v>1799</v>
      </c>
      <c r="N1146" t="s">
        <v>1799</v>
      </c>
      <c r="O1146" s="184" t="str">
        <f>"["&amp;$C1146&amp;"]["&amp;$D1146&amp;"]["&amp;$F1146&amp;"]"</f>
        <v>[S05_DefaultValues][253][InstallationNumber]</v>
      </c>
    </row>
    <row r="1147" spans="1:15" x14ac:dyDescent="0.3">
      <c r="A1147" t="s">
        <v>1793</v>
      </c>
      <c r="B1147" t="s">
        <v>1950</v>
      </c>
      <c r="C1147" t="s">
        <v>1959</v>
      </c>
      <c r="D1147">
        <v>254</v>
      </c>
      <c r="E1147" t="s">
        <v>1447</v>
      </c>
      <c r="F1147" t="s">
        <v>2087</v>
      </c>
      <c r="G1147" t="s">
        <v>1811</v>
      </c>
      <c r="H1147" t="s">
        <v>1799</v>
      </c>
      <c r="I1147">
        <v>7</v>
      </c>
      <c r="J1147" t="s">
        <v>1799</v>
      </c>
      <c r="K1147" t="s">
        <v>1799</v>
      </c>
      <c r="L1147" t="s">
        <v>1799</v>
      </c>
      <c r="M1147" t="s">
        <v>1799</v>
      </c>
      <c r="N1147" t="s">
        <v>1799</v>
      </c>
      <c r="O1147" s="184" t="str">
        <f>"["&amp;$C1147&amp;"]["&amp;$D1147&amp;"]["&amp;$F1147&amp;"]"</f>
        <v>[S05_DefaultValues][254][InstallationNumber]</v>
      </c>
    </row>
    <row r="1148" spans="1:15" x14ac:dyDescent="0.3">
      <c r="A1148" t="s">
        <v>1793</v>
      </c>
      <c r="B1148" t="s">
        <v>1950</v>
      </c>
      <c r="C1148" t="s">
        <v>1959</v>
      </c>
      <c r="D1148">
        <v>255</v>
      </c>
      <c r="E1148" t="s">
        <v>1447</v>
      </c>
      <c r="F1148" t="s">
        <v>2087</v>
      </c>
      <c r="G1148" t="s">
        <v>1811</v>
      </c>
      <c r="H1148" t="s">
        <v>1799</v>
      </c>
      <c r="I1148">
        <v>1</v>
      </c>
      <c r="J1148" t="s">
        <v>1799</v>
      </c>
      <c r="K1148" t="s">
        <v>1799</v>
      </c>
      <c r="L1148" t="s">
        <v>1799</v>
      </c>
      <c r="M1148" t="s">
        <v>1799</v>
      </c>
      <c r="N1148" t="s">
        <v>1799</v>
      </c>
      <c r="O1148" s="184" t="str">
        <f>"["&amp;$C1148&amp;"]["&amp;$D1148&amp;"]["&amp;$F1148&amp;"]"</f>
        <v>[S05_DefaultValues][255][InstallationNumber]</v>
      </c>
    </row>
    <row r="1149" spans="1:15" x14ac:dyDescent="0.3">
      <c r="A1149" t="s">
        <v>1793</v>
      </c>
      <c r="B1149" t="s">
        <v>1950</v>
      </c>
      <c r="C1149" t="s">
        <v>1959</v>
      </c>
      <c r="D1149">
        <v>256</v>
      </c>
      <c r="E1149" t="s">
        <v>1447</v>
      </c>
      <c r="F1149" t="s">
        <v>2087</v>
      </c>
      <c r="G1149" t="s">
        <v>1811</v>
      </c>
      <c r="H1149" t="s">
        <v>1799</v>
      </c>
      <c r="I1149">
        <v>3</v>
      </c>
      <c r="J1149" t="s">
        <v>1799</v>
      </c>
      <c r="K1149" t="s">
        <v>1799</v>
      </c>
      <c r="L1149" t="s">
        <v>1799</v>
      </c>
      <c r="M1149" t="s">
        <v>1799</v>
      </c>
      <c r="N1149" t="s">
        <v>1799</v>
      </c>
      <c r="O1149" s="184" t="str">
        <f>"["&amp;$C1149&amp;"]["&amp;$D1149&amp;"]["&amp;$F1149&amp;"]"</f>
        <v>[S05_DefaultValues][256][InstallationNumber]</v>
      </c>
    </row>
    <row r="1150" spans="1:15" x14ac:dyDescent="0.3">
      <c r="A1150" t="s">
        <v>1793</v>
      </c>
      <c r="B1150" t="s">
        <v>1950</v>
      </c>
      <c r="C1150" t="s">
        <v>1959</v>
      </c>
      <c r="D1150">
        <v>257</v>
      </c>
      <c r="E1150" t="s">
        <v>1447</v>
      </c>
      <c r="F1150" t="s">
        <v>2087</v>
      </c>
      <c r="G1150" t="s">
        <v>1811</v>
      </c>
      <c r="H1150" t="s">
        <v>1799</v>
      </c>
      <c r="I1150">
        <v>4</v>
      </c>
      <c r="J1150" t="s">
        <v>1799</v>
      </c>
      <c r="K1150" t="s">
        <v>1799</v>
      </c>
      <c r="L1150" t="s">
        <v>1799</v>
      </c>
      <c r="M1150" t="s">
        <v>1799</v>
      </c>
      <c r="N1150" t="s">
        <v>1799</v>
      </c>
      <c r="O1150" s="184" t="str">
        <f>"["&amp;$C1150&amp;"]["&amp;$D1150&amp;"]["&amp;$F1150&amp;"]"</f>
        <v>[S05_DefaultValues][257][InstallationNumber]</v>
      </c>
    </row>
    <row r="1151" spans="1:15" x14ac:dyDescent="0.3">
      <c r="A1151" t="s">
        <v>1793</v>
      </c>
      <c r="B1151" t="s">
        <v>1950</v>
      </c>
      <c r="C1151" t="s">
        <v>1959</v>
      </c>
      <c r="D1151">
        <v>258</v>
      </c>
      <c r="E1151" t="s">
        <v>1447</v>
      </c>
      <c r="F1151" t="s">
        <v>2087</v>
      </c>
      <c r="G1151" t="s">
        <v>1811</v>
      </c>
      <c r="H1151" t="s">
        <v>1799</v>
      </c>
      <c r="I1151">
        <v>3</v>
      </c>
      <c r="J1151" t="s">
        <v>1799</v>
      </c>
      <c r="K1151" t="s">
        <v>1799</v>
      </c>
      <c r="L1151" t="s">
        <v>1799</v>
      </c>
      <c r="M1151" t="s">
        <v>1799</v>
      </c>
      <c r="N1151" t="s">
        <v>1799</v>
      </c>
      <c r="O1151" s="184" t="str">
        <f>"["&amp;$C1151&amp;"]["&amp;$D1151&amp;"]["&amp;$F1151&amp;"]"</f>
        <v>[S05_DefaultValues][258][InstallationNumber]</v>
      </c>
    </row>
    <row r="1152" spans="1:15" x14ac:dyDescent="0.3">
      <c r="A1152" t="s">
        <v>1793</v>
      </c>
      <c r="B1152" t="s">
        <v>1950</v>
      </c>
      <c r="C1152" t="s">
        <v>1959</v>
      </c>
      <c r="D1152">
        <v>259</v>
      </c>
      <c r="E1152" t="s">
        <v>1447</v>
      </c>
      <c r="F1152" t="s">
        <v>2087</v>
      </c>
      <c r="G1152" t="s">
        <v>1811</v>
      </c>
      <c r="H1152" t="s">
        <v>1799</v>
      </c>
      <c r="I1152">
        <v>7</v>
      </c>
      <c r="J1152" t="s">
        <v>1799</v>
      </c>
      <c r="K1152" t="s">
        <v>1799</v>
      </c>
      <c r="L1152" t="s">
        <v>1799</v>
      </c>
      <c r="M1152" t="s">
        <v>1799</v>
      </c>
      <c r="N1152" t="s">
        <v>1799</v>
      </c>
      <c r="O1152" s="184" t="str">
        <f>"["&amp;$C1152&amp;"]["&amp;$D1152&amp;"]["&amp;$F1152&amp;"]"</f>
        <v>[S05_DefaultValues][259][InstallationNumber]</v>
      </c>
    </row>
    <row r="1153" spans="1:15" x14ac:dyDescent="0.3">
      <c r="A1153" t="s">
        <v>1793</v>
      </c>
      <c r="B1153" t="s">
        <v>1950</v>
      </c>
      <c r="C1153" t="s">
        <v>1959</v>
      </c>
      <c r="D1153">
        <v>260</v>
      </c>
      <c r="E1153" t="s">
        <v>1447</v>
      </c>
      <c r="F1153" t="s">
        <v>2087</v>
      </c>
      <c r="G1153" t="s">
        <v>1811</v>
      </c>
      <c r="H1153" t="s">
        <v>1799</v>
      </c>
      <c r="I1153">
        <v>4</v>
      </c>
      <c r="J1153" t="s">
        <v>1799</v>
      </c>
      <c r="K1153" t="s">
        <v>1799</v>
      </c>
      <c r="L1153" t="s">
        <v>1799</v>
      </c>
      <c r="M1153" t="s">
        <v>1799</v>
      </c>
      <c r="N1153" t="s">
        <v>1799</v>
      </c>
      <c r="O1153" s="184" t="str">
        <f>"["&amp;$C1153&amp;"]["&amp;$D1153&amp;"]["&amp;$F1153&amp;"]"</f>
        <v>[S05_DefaultValues][260][InstallationNumber]</v>
      </c>
    </row>
    <row r="1154" spans="1:15" x14ac:dyDescent="0.3">
      <c r="A1154" t="s">
        <v>1793</v>
      </c>
      <c r="B1154" t="s">
        <v>1950</v>
      </c>
      <c r="C1154" t="s">
        <v>1959</v>
      </c>
      <c r="D1154">
        <v>261</v>
      </c>
      <c r="E1154" t="s">
        <v>1447</v>
      </c>
      <c r="F1154" t="s">
        <v>2087</v>
      </c>
      <c r="G1154" t="s">
        <v>1811</v>
      </c>
      <c r="H1154" t="s">
        <v>1799</v>
      </c>
      <c r="I1154">
        <v>4</v>
      </c>
      <c r="J1154" t="s">
        <v>1799</v>
      </c>
      <c r="K1154" t="s">
        <v>1799</v>
      </c>
      <c r="L1154" t="s">
        <v>1799</v>
      </c>
      <c r="M1154" t="s">
        <v>1799</v>
      </c>
      <c r="N1154" t="s">
        <v>1799</v>
      </c>
      <c r="O1154" s="184" t="str">
        <f>"["&amp;$C1154&amp;"]["&amp;$D1154&amp;"]["&amp;$F1154&amp;"]"</f>
        <v>[S05_DefaultValues][261][InstallationNumber]</v>
      </c>
    </row>
    <row r="1155" spans="1:15" x14ac:dyDescent="0.3">
      <c r="A1155" t="s">
        <v>1793</v>
      </c>
      <c r="B1155" t="s">
        <v>1950</v>
      </c>
      <c r="C1155" t="s">
        <v>1959</v>
      </c>
      <c r="D1155">
        <v>262</v>
      </c>
      <c r="E1155" t="s">
        <v>1447</v>
      </c>
      <c r="F1155" t="s">
        <v>2087</v>
      </c>
      <c r="G1155" t="s">
        <v>1811</v>
      </c>
      <c r="H1155" t="s">
        <v>1799</v>
      </c>
      <c r="I1155">
        <v>1</v>
      </c>
      <c r="J1155" t="s">
        <v>1799</v>
      </c>
      <c r="K1155" t="s">
        <v>1799</v>
      </c>
      <c r="L1155" t="s">
        <v>1799</v>
      </c>
      <c r="M1155" t="s">
        <v>1799</v>
      </c>
      <c r="N1155" t="s">
        <v>1799</v>
      </c>
      <c r="O1155" s="184" t="str">
        <f>"["&amp;$C1155&amp;"]["&amp;$D1155&amp;"]["&amp;$F1155&amp;"]"</f>
        <v>[S05_DefaultValues][262][InstallationNumber]</v>
      </c>
    </row>
    <row r="1156" spans="1:15" x14ac:dyDescent="0.3">
      <c r="A1156" t="s">
        <v>1793</v>
      </c>
      <c r="B1156" t="s">
        <v>1950</v>
      </c>
      <c r="C1156" t="s">
        <v>1959</v>
      </c>
      <c r="D1156">
        <v>263</v>
      </c>
      <c r="E1156" t="s">
        <v>1447</v>
      </c>
      <c r="F1156" t="s">
        <v>2087</v>
      </c>
      <c r="G1156" t="s">
        <v>1811</v>
      </c>
      <c r="H1156" t="s">
        <v>1799</v>
      </c>
      <c r="I1156">
        <v>7</v>
      </c>
      <c r="J1156" t="s">
        <v>1799</v>
      </c>
      <c r="K1156" t="s">
        <v>1799</v>
      </c>
      <c r="L1156" t="s">
        <v>1799</v>
      </c>
      <c r="M1156" t="s">
        <v>1799</v>
      </c>
      <c r="N1156" t="s">
        <v>1799</v>
      </c>
      <c r="O1156" s="184" t="str">
        <f>"["&amp;$C1156&amp;"]["&amp;$D1156&amp;"]["&amp;$F1156&amp;"]"</f>
        <v>[S05_DefaultValues][263][InstallationNumber]</v>
      </c>
    </row>
    <row r="1157" spans="1:15" x14ac:dyDescent="0.3">
      <c r="A1157" t="s">
        <v>1793</v>
      </c>
      <c r="B1157" t="s">
        <v>1950</v>
      </c>
      <c r="C1157" t="s">
        <v>1959</v>
      </c>
      <c r="D1157">
        <v>264</v>
      </c>
      <c r="E1157" t="s">
        <v>1447</v>
      </c>
      <c r="F1157" t="s">
        <v>2087</v>
      </c>
      <c r="G1157" t="s">
        <v>1811</v>
      </c>
      <c r="H1157" t="s">
        <v>1799</v>
      </c>
      <c r="I1157">
        <v>5</v>
      </c>
      <c r="J1157" t="s">
        <v>1799</v>
      </c>
      <c r="K1157" t="s">
        <v>1799</v>
      </c>
      <c r="L1157" t="s">
        <v>1799</v>
      </c>
      <c r="M1157" t="s">
        <v>1799</v>
      </c>
      <c r="N1157" t="s">
        <v>1799</v>
      </c>
      <c r="O1157" s="184" t="str">
        <f>"["&amp;$C1157&amp;"]["&amp;$D1157&amp;"]["&amp;$F1157&amp;"]"</f>
        <v>[S05_DefaultValues][264][InstallationNumber]</v>
      </c>
    </row>
    <row r="1158" spans="1:15" x14ac:dyDescent="0.3">
      <c r="A1158" t="s">
        <v>1793</v>
      </c>
      <c r="B1158" t="s">
        <v>1950</v>
      </c>
      <c r="C1158" t="s">
        <v>1959</v>
      </c>
      <c r="D1158">
        <v>265</v>
      </c>
      <c r="E1158" t="s">
        <v>1447</v>
      </c>
      <c r="F1158" t="s">
        <v>2087</v>
      </c>
      <c r="G1158" t="s">
        <v>1811</v>
      </c>
      <c r="H1158" t="s">
        <v>1799</v>
      </c>
      <c r="I1158">
        <v>29</v>
      </c>
      <c r="J1158" t="s">
        <v>1799</v>
      </c>
      <c r="K1158" t="s">
        <v>1799</v>
      </c>
      <c r="L1158" t="s">
        <v>1799</v>
      </c>
      <c r="M1158" t="s">
        <v>1799</v>
      </c>
      <c r="N1158" t="s">
        <v>1799</v>
      </c>
      <c r="O1158" s="184" t="str">
        <f>"["&amp;$C1158&amp;"]["&amp;$D1158&amp;"]["&amp;$F1158&amp;"]"</f>
        <v>[S05_DefaultValues][265][InstallationNumber]</v>
      </c>
    </row>
    <row r="1159" spans="1:15" x14ac:dyDescent="0.3">
      <c r="A1159" t="s">
        <v>1793</v>
      </c>
      <c r="B1159" t="s">
        <v>1950</v>
      </c>
      <c r="C1159" t="s">
        <v>1959</v>
      </c>
      <c r="D1159">
        <v>266</v>
      </c>
      <c r="E1159" t="s">
        <v>1447</v>
      </c>
      <c r="F1159" t="s">
        <v>2087</v>
      </c>
      <c r="G1159" t="s">
        <v>1811</v>
      </c>
      <c r="H1159" t="s">
        <v>1799</v>
      </c>
      <c r="I1159">
        <v>1</v>
      </c>
      <c r="J1159" t="s">
        <v>1799</v>
      </c>
      <c r="K1159" t="s">
        <v>1799</v>
      </c>
      <c r="L1159" t="s">
        <v>1799</v>
      </c>
      <c r="M1159" t="s">
        <v>1799</v>
      </c>
      <c r="N1159" t="s">
        <v>1799</v>
      </c>
      <c r="O1159" s="184" t="str">
        <f>"["&amp;$C1159&amp;"]["&amp;$D1159&amp;"]["&amp;$F1159&amp;"]"</f>
        <v>[S05_DefaultValues][266][InstallationNumber]</v>
      </c>
    </row>
    <row r="1160" spans="1:15" x14ac:dyDescent="0.3">
      <c r="A1160" t="s">
        <v>1793</v>
      </c>
      <c r="B1160" t="s">
        <v>1950</v>
      </c>
      <c r="C1160" t="s">
        <v>1959</v>
      </c>
      <c r="D1160">
        <v>267</v>
      </c>
      <c r="E1160" t="s">
        <v>1447</v>
      </c>
      <c r="F1160" t="s">
        <v>2087</v>
      </c>
      <c r="G1160" t="s">
        <v>1811</v>
      </c>
      <c r="H1160" t="s">
        <v>1799</v>
      </c>
      <c r="I1160">
        <v>6</v>
      </c>
      <c r="J1160" t="s">
        <v>1799</v>
      </c>
      <c r="K1160" t="s">
        <v>1799</v>
      </c>
      <c r="L1160" t="s">
        <v>1799</v>
      </c>
      <c r="M1160" t="s">
        <v>1799</v>
      </c>
      <c r="N1160" t="s">
        <v>1799</v>
      </c>
      <c r="O1160" s="184" t="str">
        <f>"["&amp;$C1160&amp;"]["&amp;$D1160&amp;"]["&amp;$F1160&amp;"]"</f>
        <v>[S05_DefaultValues][267][InstallationNumber]</v>
      </c>
    </row>
    <row r="1161" spans="1:15" x14ac:dyDescent="0.3">
      <c r="A1161" t="s">
        <v>1793</v>
      </c>
      <c r="B1161" t="s">
        <v>1950</v>
      </c>
      <c r="C1161" t="s">
        <v>1959</v>
      </c>
      <c r="D1161">
        <v>268</v>
      </c>
      <c r="E1161" t="s">
        <v>1447</v>
      </c>
      <c r="F1161" t="s">
        <v>2087</v>
      </c>
      <c r="G1161" t="s">
        <v>1811</v>
      </c>
      <c r="H1161" t="s">
        <v>1799</v>
      </c>
      <c r="I1161">
        <v>86</v>
      </c>
      <c r="J1161" t="s">
        <v>1799</v>
      </c>
      <c r="K1161" t="s">
        <v>1799</v>
      </c>
      <c r="L1161" t="s">
        <v>1799</v>
      </c>
      <c r="M1161" t="s">
        <v>1799</v>
      </c>
      <c r="N1161" t="s">
        <v>1799</v>
      </c>
      <c r="O1161" s="184" t="str">
        <f>"["&amp;$C1161&amp;"]["&amp;$D1161&amp;"]["&amp;$F1161&amp;"]"</f>
        <v>[S05_DefaultValues][268][InstallationNumber]</v>
      </c>
    </row>
    <row r="1162" spans="1:15" x14ac:dyDescent="0.3">
      <c r="A1162" t="s">
        <v>1793</v>
      </c>
      <c r="B1162" t="s">
        <v>1950</v>
      </c>
      <c r="C1162" t="s">
        <v>1959</v>
      </c>
      <c r="D1162">
        <v>269</v>
      </c>
      <c r="E1162" t="s">
        <v>1447</v>
      </c>
      <c r="F1162" t="s">
        <v>2087</v>
      </c>
      <c r="G1162" t="s">
        <v>1811</v>
      </c>
      <c r="H1162" t="s">
        <v>1799</v>
      </c>
      <c r="I1162">
        <v>23</v>
      </c>
      <c r="J1162" t="s">
        <v>1799</v>
      </c>
      <c r="K1162" t="s">
        <v>1799</v>
      </c>
      <c r="L1162" t="s">
        <v>1799</v>
      </c>
      <c r="M1162" t="s">
        <v>1799</v>
      </c>
      <c r="N1162" t="s">
        <v>1799</v>
      </c>
      <c r="O1162" s="184" t="str">
        <f>"["&amp;$C1162&amp;"]["&amp;$D1162&amp;"]["&amp;$F1162&amp;"]"</f>
        <v>[S05_DefaultValues][269][InstallationNumber]</v>
      </c>
    </row>
    <row r="1163" spans="1:15" x14ac:dyDescent="0.3">
      <c r="A1163" t="s">
        <v>1793</v>
      </c>
      <c r="B1163" t="s">
        <v>1950</v>
      </c>
      <c r="C1163" t="s">
        <v>1959</v>
      </c>
      <c r="D1163">
        <v>270</v>
      </c>
      <c r="E1163" t="s">
        <v>1447</v>
      </c>
      <c r="F1163" t="s">
        <v>2087</v>
      </c>
      <c r="G1163" t="s">
        <v>1811</v>
      </c>
      <c r="H1163" t="s">
        <v>1799</v>
      </c>
      <c r="I1163">
        <v>3</v>
      </c>
      <c r="J1163" t="s">
        <v>1799</v>
      </c>
      <c r="K1163" t="s">
        <v>1799</v>
      </c>
      <c r="L1163" t="s">
        <v>1799</v>
      </c>
      <c r="M1163" t="s">
        <v>1799</v>
      </c>
      <c r="N1163" t="s">
        <v>1799</v>
      </c>
      <c r="O1163" s="184" t="str">
        <f>"["&amp;$C1163&amp;"]["&amp;$D1163&amp;"]["&amp;$F1163&amp;"]"</f>
        <v>[S05_DefaultValues][270][InstallationNumber]</v>
      </c>
    </row>
    <row r="1164" spans="1:15" x14ac:dyDescent="0.3">
      <c r="A1164" t="s">
        <v>1793</v>
      </c>
      <c r="B1164" t="s">
        <v>1950</v>
      </c>
      <c r="C1164" t="s">
        <v>1959</v>
      </c>
      <c r="D1164">
        <v>271</v>
      </c>
      <c r="E1164" t="s">
        <v>1447</v>
      </c>
      <c r="F1164" t="s">
        <v>2087</v>
      </c>
      <c r="G1164" t="s">
        <v>1811</v>
      </c>
      <c r="H1164" t="s">
        <v>1799</v>
      </c>
      <c r="I1164">
        <v>4</v>
      </c>
      <c r="J1164" t="s">
        <v>1799</v>
      </c>
      <c r="K1164" t="s">
        <v>1799</v>
      </c>
      <c r="L1164" t="s">
        <v>1799</v>
      </c>
      <c r="M1164" t="s">
        <v>1799</v>
      </c>
      <c r="N1164" t="s">
        <v>1799</v>
      </c>
      <c r="O1164" s="184" t="str">
        <f>"["&amp;$C1164&amp;"]["&amp;$D1164&amp;"]["&amp;$F1164&amp;"]"</f>
        <v>[S05_DefaultValues][271][InstallationNumber]</v>
      </c>
    </row>
    <row r="1165" spans="1:15" x14ac:dyDescent="0.3">
      <c r="A1165" t="s">
        <v>1793</v>
      </c>
      <c r="B1165" t="s">
        <v>1950</v>
      </c>
      <c r="C1165" t="s">
        <v>1959</v>
      </c>
      <c r="D1165">
        <v>272</v>
      </c>
      <c r="E1165" t="s">
        <v>1447</v>
      </c>
      <c r="F1165" t="s">
        <v>2087</v>
      </c>
      <c r="G1165" t="s">
        <v>1811</v>
      </c>
      <c r="H1165" t="s">
        <v>1799</v>
      </c>
      <c r="I1165">
        <v>2</v>
      </c>
      <c r="J1165" t="s">
        <v>1799</v>
      </c>
      <c r="K1165" t="s">
        <v>1799</v>
      </c>
      <c r="L1165" t="s">
        <v>1799</v>
      </c>
      <c r="M1165" t="s">
        <v>1799</v>
      </c>
      <c r="N1165" t="s">
        <v>1799</v>
      </c>
      <c r="O1165" s="184" t="str">
        <f>"["&amp;$C1165&amp;"]["&amp;$D1165&amp;"]["&amp;$F1165&amp;"]"</f>
        <v>[S05_DefaultValues][272][InstallationNumber]</v>
      </c>
    </row>
    <row r="1166" spans="1:15" x14ac:dyDescent="0.3">
      <c r="A1166" t="s">
        <v>1793</v>
      </c>
      <c r="B1166" t="s">
        <v>1950</v>
      </c>
      <c r="C1166" t="s">
        <v>1959</v>
      </c>
      <c r="D1166">
        <v>273</v>
      </c>
      <c r="E1166" t="s">
        <v>1447</v>
      </c>
      <c r="F1166" t="s">
        <v>2087</v>
      </c>
      <c r="G1166" t="s">
        <v>1811</v>
      </c>
      <c r="H1166" t="s">
        <v>1799</v>
      </c>
      <c r="I1166">
        <v>14</v>
      </c>
      <c r="J1166" t="s">
        <v>1799</v>
      </c>
      <c r="K1166" t="s">
        <v>1799</v>
      </c>
      <c r="L1166" t="s">
        <v>1799</v>
      </c>
      <c r="M1166" t="s">
        <v>1799</v>
      </c>
      <c r="N1166" t="s">
        <v>1799</v>
      </c>
      <c r="O1166" s="184" t="str">
        <f>"["&amp;$C1166&amp;"]["&amp;$D1166&amp;"]["&amp;$F1166&amp;"]"</f>
        <v>[S05_DefaultValues][273][InstallationNumber]</v>
      </c>
    </row>
    <row r="1167" spans="1:15" x14ac:dyDescent="0.3">
      <c r="A1167" t="s">
        <v>1793</v>
      </c>
      <c r="B1167" t="s">
        <v>1950</v>
      </c>
      <c r="C1167" t="s">
        <v>1959</v>
      </c>
      <c r="D1167">
        <v>274</v>
      </c>
      <c r="E1167" t="s">
        <v>1447</v>
      </c>
      <c r="F1167" t="s">
        <v>2087</v>
      </c>
      <c r="G1167" t="s">
        <v>1811</v>
      </c>
      <c r="H1167" t="s">
        <v>1799</v>
      </c>
      <c r="I1167">
        <v>1</v>
      </c>
      <c r="J1167" t="s">
        <v>1799</v>
      </c>
      <c r="K1167" t="s">
        <v>1799</v>
      </c>
      <c r="L1167" t="s">
        <v>1799</v>
      </c>
      <c r="M1167" t="s">
        <v>1799</v>
      </c>
      <c r="N1167" t="s">
        <v>1799</v>
      </c>
      <c r="O1167" s="184" t="str">
        <f>"["&amp;$C1167&amp;"]["&amp;$D1167&amp;"]["&amp;$F1167&amp;"]"</f>
        <v>[S05_DefaultValues][274][InstallationNumber]</v>
      </c>
    </row>
    <row r="1168" spans="1:15" x14ac:dyDescent="0.3">
      <c r="A1168" t="s">
        <v>1793</v>
      </c>
      <c r="B1168" t="s">
        <v>1950</v>
      </c>
      <c r="C1168" t="s">
        <v>1959</v>
      </c>
      <c r="D1168">
        <v>275</v>
      </c>
      <c r="E1168" t="s">
        <v>1447</v>
      </c>
      <c r="F1168" t="s">
        <v>2087</v>
      </c>
      <c r="G1168" t="s">
        <v>1811</v>
      </c>
      <c r="H1168" t="s">
        <v>1799</v>
      </c>
      <c r="I1168">
        <v>1</v>
      </c>
      <c r="J1168" t="s">
        <v>1799</v>
      </c>
      <c r="K1168" t="s">
        <v>1799</v>
      </c>
      <c r="L1168" t="s">
        <v>1799</v>
      </c>
      <c r="M1168" t="s">
        <v>1799</v>
      </c>
      <c r="N1168" t="s">
        <v>1799</v>
      </c>
      <c r="O1168" s="184" t="str">
        <f>"["&amp;$C1168&amp;"]["&amp;$D1168&amp;"]["&amp;$F1168&amp;"]"</f>
        <v>[S05_DefaultValues][275][InstallationNumber]</v>
      </c>
    </row>
    <row r="1169" spans="1:15" x14ac:dyDescent="0.3">
      <c r="A1169" t="s">
        <v>1793</v>
      </c>
      <c r="B1169" t="s">
        <v>1950</v>
      </c>
      <c r="C1169" t="s">
        <v>1959</v>
      </c>
      <c r="D1169">
        <v>276</v>
      </c>
      <c r="E1169" t="s">
        <v>1447</v>
      </c>
      <c r="F1169" t="s">
        <v>2087</v>
      </c>
      <c r="G1169" t="s">
        <v>1811</v>
      </c>
      <c r="H1169" t="s">
        <v>1799</v>
      </c>
      <c r="I1169">
        <v>1</v>
      </c>
      <c r="J1169" t="s">
        <v>1799</v>
      </c>
      <c r="K1169" t="s">
        <v>1799</v>
      </c>
      <c r="L1169" t="s">
        <v>1799</v>
      </c>
      <c r="M1169" t="s">
        <v>1799</v>
      </c>
      <c r="N1169" t="s">
        <v>1799</v>
      </c>
      <c r="O1169" s="184" t="str">
        <f>"["&amp;$C1169&amp;"]["&amp;$D1169&amp;"]["&amp;$F1169&amp;"]"</f>
        <v>[S05_DefaultValues][276][InstallationNumber]</v>
      </c>
    </row>
    <row r="1170" spans="1:15" x14ac:dyDescent="0.3">
      <c r="A1170" t="s">
        <v>1793</v>
      </c>
      <c r="B1170" t="s">
        <v>1950</v>
      </c>
      <c r="C1170" t="s">
        <v>1959</v>
      </c>
      <c r="D1170">
        <v>277</v>
      </c>
      <c r="E1170" t="s">
        <v>1447</v>
      </c>
      <c r="F1170" t="s">
        <v>2087</v>
      </c>
      <c r="G1170" t="s">
        <v>1811</v>
      </c>
      <c r="H1170" t="s">
        <v>1799</v>
      </c>
      <c r="I1170">
        <v>1</v>
      </c>
      <c r="J1170" t="s">
        <v>1799</v>
      </c>
      <c r="K1170" t="s">
        <v>1799</v>
      </c>
      <c r="L1170" t="s">
        <v>1799</v>
      </c>
      <c r="M1170" t="s">
        <v>1799</v>
      </c>
      <c r="N1170" t="s">
        <v>1799</v>
      </c>
      <c r="O1170" s="184" t="str">
        <f>"["&amp;$C1170&amp;"]["&amp;$D1170&amp;"]["&amp;$F1170&amp;"]"</f>
        <v>[S05_DefaultValues][277][InstallationNumber]</v>
      </c>
    </row>
    <row r="1171" spans="1:15" x14ac:dyDescent="0.3">
      <c r="A1171" t="s">
        <v>1793</v>
      </c>
      <c r="B1171" t="s">
        <v>1950</v>
      </c>
      <c r="C1171" t="s">
        <v>1959</v>
      </c>
      <c r="D1171">
        <v>278</v>
      </c>
      <c r="E1171" t="s">
        <v>1447</v>
      </c>
      <c r="F1171" t="s">
        <v>2087</v>
      </c>
      <c r="G1171" t="s">
        <v>1811</v>
      </c>
      <c r="H1171" t="s">
        <v>1799</v>
      </c>
      <c r="I1171">
        <v>8</v>
      </c>
      <c r="J1171" t="s">
        <v>1799</v>
      </c>
      <c r="K1171" t="s">
        <v>1799</v>
      </c>
      <c r="L1171" t="s">
        <v>1799</v>
      </c>
      <c r="M1171" t="s">
        <v>1799</v>
      </c>
      <c r="N1171" t="s">
        <v>1799</v>
      </c>
      <c r="O1171" s="184" t="str">
        <f>"["&amp;$C1171&amp;"]["&amp;$D1171&amp;"]["&amp;$F1171&amp;"]"</f>
        <v>[S05_DefaultValues][278][InstallationNumber]</v>
      </c>
    </row>
    <row r="1172" spans="1:15" x14ac:dyDescent="0.3">
      <c r="A1172" t="s">
        <v>1793</v>
      </c>
      <c r="B1172" t="s">
        <v>1950</v>
      </c>
      <c r="C1172" t="s">
        <v>1959</v>
      </c>
      <c r="D1172">
        <v>279</v>
      </c>
      <c r="E1172" t="s">
        <v>1447</v>
      </c>
      <c r="F1172" t="s">
        <v>2087</v>
      </c>
      <c r="G1172" t="s">
        <v>1811</v>
      </c>
      <c r="H1172" t="s">
        <v>1799</v>
      </c>
      <c r="I1172">
        <v>4</v>
      </c>
      <c r="J1172" t="s">
        <v>1799</v>
      </c>
      <c r="K1172" t="s">
        <v>1799</v>
      </c>
      <c r="L1172" t="s">
        <v>1799</v>
      </c>
      <c r="M1172" t="s">
        <v>1799</v>
      </c>
      <c r="N1172" t="s">
        <v>1799</v>
      </c>
      <c r="O1172" s="184" t="str">
        <f>"["&amp;$C1172&amp;"]["&amp;$D1172&amp;"]["&amp;$F1172&amp;"]"</f>
        <v>[S05_DefaultValues][279][InstallationNumber]</v>
      </c>
    </row>
    <row r="1173" spans="1:15" x14ac:dyDescent="0.3">
      <c r="A1173" t="s">
        <v>1793</v>
      </c>
      <c r="B1173" t="s">
        <v>1950</v>
      </c>
      <c r="C1173" t="s">
        <v>1959</v>
      </c>
      <c r="D1173">
        <v>280</v>
      </c>
      <c r="E1173" t="s">
        <v>1447</v>
      </c>
      <c r="F1173" t="s">
        <v>2087</v>
      </c>
      <c r="G1173" t="s">
        <v>1811</v>
      </c>
      <c r="H1173" t="s">
        <v>1799</v>
      </c>
      <c r="I1173">
        <v>2</v>
      </c>
      <c r="J1173" t="s">
        <v>1799</v>
      </c>
      <c r="K1173" t="s">
        <v>1799</v>
      </c>
      <c r="L1173" t="s">
        <v>1799</v>
      </c>
      <c r="M1173" t="s">
        <v>1799</v>
      </c>
      <c r="N1173" t="s">
        <v>1799</v>
      </c>
      <c r="O1173" s="184" t="str">
        <f>"["&amp;$C1173&amp;"]["&amp;$D1173&amp;"]["&amp;$F1173&amp;"]"</f>
        <v>[S05_DefaultValues][280][InstallationNumber]</v>
      </c>
    </row>
    <row r="1174" spans="1:15" x14ac:dyDescent="0.3">
      <c r="A1174" t="s">
        <v>1793</v>
      </c>
      <c r="B1174" t="s">
        <v>1950</v>
      </c>
      <c r="C1174" t="s">
        <v>1959</v>
      </c>
      <c r="D1174">
        <v>281</v>
      </c>
      <c r="E1174" t="s">
        <v>1447</v>
      </c>
      <c r="F1174" t="s">
        <v>2087</v>
      </c>
      <c r="G1174" t="s">
        <v>1811</v>
      </c>
      <c r="H1174" t="s">
        <v>1799</v>
      </c>
      <c r="I1174">
        <v>1</v>
      </c>
      <c r="J1174" t="s">
        <v>1799</v>
      </c>
      <c r="K1174" t="s">
        <v>1799</v>
      </c>
      <c r="L1174" t="s">
        <v>1799</v>
      </c>
      <c r="M1174" t="s">
        <v>1799</v>
      </c>
      <c r="N1174" t="s">
        <v>1799</v>
      </c>
      <c r="O1174" s="184" t="str">
        <f>"["&amp;$C1174&amp;"]["&amp;$D1174&amp;"]["&amp;$F1174&amp;"]"</f>
        <v>[S05_DefaultValues][281][InstallationNumber]</v>
      </c>
    </row>
    <row r="1175" spans="1:15" x14ac:dyDescent="0.3">
      <c r="A1175" t="s">
        <v>1793</v>
      </c>
      <c r="B1175" t="s">
        <v>1950</v>
      </c>
      <c r="C1175" t="s">
        <v>1959</v>
      </c>
      <c r="D1175">
        <v>282</v>
      </c>
      <c r="E1175" t="s">
        <v>1447</v>
      </c>
      <c r="F1175" t="s">
        <v>2087</v>
      </c>
      <c r="G1175" t="s">
        <v>1811</v>
      </c>
      <c r="H1175" t="s">
        <v>1799</v>
      </c>
      <c r="I1175">
        <v>1</v>
      </c>
      <c r="J1175" t="s">
        <v>1799</v>
      </c>
      <c r="K1175" t="s">
        <v>1799</v>
      </c>
      <c r="L1175" t="s">
        <v>1799</v>
      </c>
      <c r="M1175" t="s">
        <v>1799</v>
      </c>
      <c r="N1175" t="s">
        <v>1799</v>
      </c>
      <c r="O1175" s="184" t="str">
        <f>"["&amp;$C1175&amp;"]["&amp;$D1175&amp;"]["&amp;$F1175&amp;"]"</f>
        <v>[S05_DefaultValues][282][InstallationNumber]</v>
      </c>
    </row>
    <row r="1176" spans="1:15" x14ac:dyDescent="0.3">
      <c r="A1176" t="s">
        <v>1793</v>
      </c>
      <c r="B1176" t="s">
        <v>1950</v>
      </c>
      <c r="C1176" t="s">
        <v>1959</v>
      </c>
      <c r="D1176">
        <v>283</v>
      </c>
      <c r="E1176" t="s">
        <v>1447</v>
      </c>
      <c r="F1176" t="s">
        <v>2087</v>
      </c>
      <c r="G1176" t="s">
        <v>1811</v>
      </c>
      <c r="H1176" t="s">
        <v>1799</v>
      </c>
      <c r="I1176">
        <v>2</v>
      </c>
      <c r="J1176" t="s">
        <v>1799</v>
      </c>
      <c r="K1176" t="s">
        <v>1799</v>
      </c>
      <c r="L1176" t="s">
        <v>1799</v>
      </c>
      <c r="M1176" t="s">
        <v>1799</v>
      </c>
      <c r="N1176" t="s">
        <v>1799</v>
      </c>
      <c r="O1176" s="184" t="str">
        <f>"["&amp;$C1176&amp;"]["&amp;$D1176&amp;"]["&amp;$F1176&amp;"]"</f>
        <v>[S05_DefaultValues][283][InstallationNumber]</v>
      </c>
    </row>
    <row r="1177" spans="1:15" x14ac:dyDescent="0.3">
      <c r="A1177" t="s">
        <v>1793</v>
      </c>
      <c r="B1177" t="s">
        <v>1950</v>
      </c>
      <c r="C1177" t="s">
        <v>1959</v>
      </c>
      <c r="D1177">
        <v>284</v>
      </c>
      <c r="E1177" t="s">
        <v>1447</v>
      </c>
      <c r="F1177" t="s">
        <v>2087</v>
      </c>
      <c r="G1177" t="s">
        <v>1811</v>
      </c>
      <c r="H1177" t="s">
        <v>1799</v>
      </c>
      <c r="I1177">
        <v>1</v>
      </c>
      <c r="J1177" t="s">
        <v>1799</v>
      </c>
      <c r="K1177" t="s">
        <v>1799</v>
      </c>
      <c r="L1177" t="s">
        <v>1799</v>
      </c>
      <c r="M1177" t="s">
        <v>1799</v>
      </c>
      <c r="N1177" t="s">
        <v>1799</v>
      </c>
      <c r="O1177" s="184" t="str">
        <f>"["&amp;$C1177&amp;"]["&amp;$D1177&amp;"]["&amp;$F1177&amp;"]"</f>
        <v>[S05_DefaultValues][284][InstallationNumber]</v>
      </c>
    </row>
    <row r="1178" spans="1:15" x14ac:dyDescent="0.3">
      <c r="A1178" t="s">
        <v>1793</v>
      </c>
      <c r="B1178" t="s">
        <v>1950</v>
      </c>
      <c r="C1178" t="s">
        <v>1959</v>
      </c>
      <c r="D1178">
        <v>285</v>
      </c>
      <c r="E1178" t="s">
        <v>1447</v>
      </c>
      <c r="F1178" t="s">
        <v>2087</v>
      </c>
      <c r="G1178" t="s">
        <v>1811</v>
      </c>
      <c r="H1178" t="s">
        <v>1799</v>
      </c>
      <c r="I1178">
        <v>1</v>
      </c>
      <c r="J1178" t="s">
        <v>1799</v>
      </c>
      <c r="K1178" t="s">
        <v>1799</v>
      </c>
      <c r="L1178" t="s">
        <v>1799</v>
      </c>
      <c r="M1178" t="s">
        <v>1799</v>
      </c>
      <c r="N1178" t="s">
        <v>1799</v>
      </c>
      <c r="O1178" s="184" t="str">
        <f>"["&amp;$C1178&amp;"]["&amp;$D1178&amp;"]["&amp;$F1178&amp;"]"</f>
        <v>[S05_DefaultValues][285][InstallationNumber]</v>
      </c>
    </row>
    <row r="1179" spans="1:15" x14ac:dyDescent="0.3">
      <c r="A1179" t="s">
        <v>1793</v>
      </c>
      <c r="B1179" t="s">
        <v>1950</v>
      </c>
      <c r="C1179" t="s">
        <v>1959</v>
      </c>
      <c r="D1179">
        <v>286</v>
      </c>
      <c r="E1179" t="s">
        <v>1447</v>
      </c>
      <c r="F1179" t="s">
        <v>2087</v>
      </c>
      <c r="G1179" t="s">
        <v>1811</v>
      </c>
      <c r="H1179" t="s">
        <v>1799</v>
      </c>
      <c r="I1179">
        <v>7</v>
      </c>
      <c r="J1179" t="s">
        <v>1799</v>
      </c>
      <c r="K1179" t="s">
        <v>1799</v>
      </c>
      <c r="L1179" t="s">
        <v>1799</v>
      </c>
      <c r="M1179" t="s">
        <v>1799</v>
      </c>
      <c r="N1179" t="s">
        <v>1799</v>
      </c>
      <c r="O1179" s="184" t="str">
        <f>"["&amp;$C1179&amp;"]["&amp;$D1179&amp;"]["&amp;$F1179&amp;"]"</f>
        <v>[S05_DefaultValues][286][InstallationNumber]</v>
      </c>
    </row>
    <row r="1180" spans="1:15" x14ac:dyDescent="0.3">
      <c r="A1180" t="s">
        <v>1793</v>
      </c>
      <c r="B1180" t="s">
        <v>1950</v>
      </c>
      <c r="C1180" t="s">
        <v>1959</v>
      </c>
      <c r="D1180">
        <v>287</v>
      </c>
      <c r="E1180" t="s">
        <v>1447</v>
      </c>
      <c r="F1180" t="s">
        <v>2087</v>
      </c>
      <c r="G1180" t="s">
        <v>1811</v>
      </c>
      <c r="H1180" t="s">
        <v>1799</v>
      </c>
      <c r="I1180">
        <v>2</v>
      </c>
      <c r="J1180" t="s">
        <v>1799</v>
      </c>
      <c r="K1180" t="s">
        <v>1799</v>
      </c>
      <c r="L1180" t="s">
        <v>1799</v>
      </c>
      <c r="M1180" t="s">
        <v>1799</v>
      </c>
      <c r="N1180" t="s">
        <v>1799</v>
      </c>
      <c r="O1180" s="184" t="str">
        <f>"["&amp;$C1180&amp;"]["&amp;$D1180&amp;"]["&amp;$F1180&amp;"]"</f>
        <v>[S05_DefaultValues][287][InstallationNumber]</v>
      </c>
    </row>
    <row r="1181" spans="1:15" x14ac:dyDescent="0.3">
      <c r="A1181" t="s">
        <v>1793</v>
      </c>
      <c r="B1181" t="s">
        <v>1950</v>
      </c>
      <c r="C1181" t="s">
        <v>1959</v>
      </c>
      <c r="D1181">
        <v>288</v>
      </c>
      <c r="E1181" t="s">
        <v>1447</v>
      </c>
      <c r="F1181" t="s">
        <v>2087</v>
      </c>
      <c r="G1181" t="s">
        <v>1811</v>
      </c>
      <c r="H1181" t="s">
        <v>1799</v>
      </c>
      <c r="I1181">
        <v>3</v>
      </c>
      <c r="J1181" t="s">
        <v>1799</v>
      </c>
      <c r="K1181" t="s">
        <v>1799</v>
      </c>
      <c r="L1181" t="s">
        <v>1799</v>
      </c>
      <c r="M1181" t="s">
        <v>1799</v>
      </c>
      <c r="N1181" t="s">
        <v>1799</v>
      </c>
      <c r="O1181" s="184" t="str">
        <f>"["&amp;$C1181&amp;"]["&amp;$D1181&amp;"]["&amp;$F1181&amp;"]"</f>
        <v>[S05_DefaultValues][288][InstallationNumber]</v>
      </c>
    </row>
    <row r="1182" spans="1:15" x14ac:dyDescent="0.3">
      <c r="A1182" t="s">
        <v>1793</v>
      </c>
      <c r="B1182" t="s">
        <v>1950</v>
      </c>
      <c r="C1182" t="s">
        <v>1959</v>
      </c>
      <c r="D1182">
        <v>289</v>
      </c>
      <c r="E1182" t="s">
        <v>1447</v>
      </c>
      <c r="F1182" t="s">
        <v>2087</v>
      </c>
      <c r="G1182" t="s">
        <v>1811</v>
      </c>
      <c r="H1182" t="s">
        <v>1799</v>
      </c>
      <c r="I1182">
        <v>4</v>
      </c>
      <c r="J1182" t="s">
        <v>1799</v>
      </c>
      <c r="K1182" t="s">
        <v>1799</v>
      </c>
      <c r="L1182" t="s">
        <v>1799</v>
      </c>
      <c r="M1182" t="s">
        <v>1799</v>
      </c>
      <c r="N1182" t="s">
        <v>1799</v>
      </c>
      <c r="O1182" s="184" t="str">
        <f>"["&amp;$C1182&amp;"]["&amp;$D1182&amp;"]["&amp;$F1182&amp;"]"</f>
        <v>[S05_DefaultValues][289][InstallationNumber]</v>
      </c>
    </row>
    <row r="1183" spans="1:15" x14ac:dyDescent="0.3">
      <c r="A1183" t="s">
        <v>1793</v>
      </c>
      <c r="B1183" t="s">
        <v>1950</v>
      </c>
      <c r="C1183" t="s">
        <v>1959</v>
      </c>
      <c r="D1183">
        <v>290</v>
      </c>
      <c r="E1183" t="s">
        <v>1447</v>
      </c>
      <c r="F1183" t="s">
        <v>2087</v>
      </c>
      <c r="G1183" t="s">
        <v>1811</v>
      </c>
      <c r="H1183" t="s">
        <v>1799</v>
      </c>
      <c r="I1183">
        <v>1</v>
      </c>
      <c r="J1183" t="s">
        <v>1799</v>
      </c>
      <c r="K1183" t="s">
        <v>1799</v>
      </c>
      <c r="L1183" t="s">
        <v>1799</v>
      </c>
      <c r="M1183" t="s">
        <v>1799</v>
      </c>
      <c r="N1183" t="s">
        <v>1799</v>
      </c>
      <c r="O1183" s="184" t="str">
        <f>"["&amp;$C1183&amp;"]["&amp;$D1183&amp;"]["&amp;$F1183&amp;"]"</f>
        <v>[S05_DefaultValues][290][InstallationNumber]</v>
      </c>
    </row>
    <row r="1184" spans="1:15" x14ac:dyDescent="0.3">
      <c r="A1184" t="s">
        <v>1793</v>
      </c>
      <c r="B1184" t="s">
        <v>1950</v>
      </c>
      <c r="C1184" t="s">
        <v>1959</v>
      </c>
      <c r="D1184">
        <v>291</v>
      </c>
      <c r="E1184" t="s">
        <v>1447</v>
      </c>
      <c r="F1184" t="s">
        <v>2087</v>
      </c>
      <c r="G1184" t="s">
        <v>1811</v>
      </c>
      <c r="H1184" t="s">
        <v>1799</v>
      </c>
      <c r="I1184">
        <v>5</v>
      </c>
      <c r="J1184" t="s">
        <v>1799</v>
      </c>
      <c r="K1184" t="s">
        <v>1799</v>
      </c>
      <c r="L1184" t="s">
        <v>1799</v>
      </c>
      <c r="M1184" t="s">
        <v>1799</v>
      </c>
      <c r="N1184" t="s">
        <v>1799</v>
      </c>
      <c r="O1184" s="184" t="str">
        <f>"["&amp;$C1184&amp;"]["&amp;$D1184&amp;"]["&amp;$F1184&amp;"]"</f>
        <v>[S05_DefaultValues][291][InstallationNumber]</v>
      </c>
    </row>
    <row r="1185" spans="1:15" x14ac:dyDescent="0.3">
      <c r="A1185" t="s">
        <v>1793</v>
      </c>
      <c r="B1185" t="s">
        <v>1950</v>
      </c>
      <c r="C1185" t="s">
        <v>1959</v>
      </c>
      <c r="D1185">
        <v>292</v>
      </c>
      <c r="E1185" t="s">
        <v>1447</v>
      </c>
      <c r="F1185" t="s">
        <v>2087</v>
      </c>
      <c r="G1185" t="s">
        <v>1811</v>
      </c>
      <c r="H1185" t="s">
        <v>1799</v>
      </c>
      <c r="I1185">
        <v>1</v>
      </c>
      <c r="J1185" t="s">
        <v>1799</v>
      </c>
      <c r="K1185" t="s">
        <v>1799</v>
      </c>
      <c r="L1185" t="s">
        <v>1799</v>
      </c>
      <c r="M1185" t="s">
        <v>1799</v>
      </c>
      <c r="N1185" t="s">
        <v>1799</v>
      </c>
      <c r="O1185" s="184" t="str">
        <f>"["&amp;$C1185&amp;"]["&amp;$D1185&amp;"]["&amp;$F1185&amp;"]"</f>
        <v>[S05_DefaultValues][292][InstallationNumber]</v>
      </c>
    </row>
    <row r="1186" spans="1:15" x14ac:dyDescent="0.3">
      <c r="A1186" t="s">
        <v>1793</v>
      </c>
      <c r="B1186" t="s">
        <v>1950</v>
      </c>
      <c r="C1186" t="s">
        <v>1959</v>
      </c>
      <c r="D1186">
        <v>293</v>
      </c>
      <c r="E1186" t="s">
        <v>1447</v>
      </c>
      <c r="F1186" t="s">
        <v>2087</v>
      </c>
      <c r="G1186" t="s">
        <v>1811</v>
      </c>
      <c r="H1186" t="s">
        <v>1799</v>
      </c>
      <c r="I1186">
        <v>1</v>
      </c>
      <c r="J1186" t="s">
        <v>1799</v>
      </c>
      <c r="K1186" t="s">
        <v>1799</v>
      </c>
      <c r="L1186" t="s">
        <v>1799</v>
      </c>
      <c r="M1186" t="s">
        <v>1799</v>
      </c>
      <c r="N1186" t="s">
        <v>1799</v>
      </c>
      <c r="O1186" s="184" t="str">
        <f>"["&amp;$C1186&amp;"]["&amp;$D1186&amp;"]["&amp;$F1186&amp;"]"</f>
        <v>[S05_DefaultValues][293][InstallationNumber]</v>
      </c>
    </row>
    <row r="1187" spans="1:15" x14ac:dyDescent="0.3">
      <c r="A1187" t="s">
        <v>1793</v>
      </c>
      <c r="B1187" t="s">
        <v>1950</v>
      </c>
      <c r="C1187" t="s">
        <v>1959</v>
      </c>
      <c r="D1187">
        <v>294</v>
      </c>
      <c r="E1187" t="s">
        <v>1447</v>
      </c>
      <c r="F1187" t="s">
        <v>2087</v>
      </c>
      <c r="G1187" t="s">
        <v>1811</v>
      </c>
      <c r="H1187" t="s">
        <v>1799</v>
      </c>
      <c r="I1187">
        <v>1</v>
      </c>
      <c r="J1187" t="s">
        <v>1799</v>
      </c>
      <c r="K1187" t="s">
        <v>1799</v>
      </c>
      <c r="L1187" t="s">
        <v>1799</v>
      </c>
      <c r="M1187" t="s">
        <v>1799</v>
      </c>
      <c r="N1187" t="s">
        <v>1799</v>
      </c>
      <c r="O1187" s="184" t="str">
        <f>"["&amp;$C1187&amp;"]["&amp;$D1187&amp;"]["&amp;$F1187&amp;"]"</f>
        <v>[S05_DefaultValues][294][InstallationNumber]</v>
      </c>
    </row>
    <row r="1188" spans="1:15" x14ac:dyDescent="0.3">
      <c r="A1188" t="s">
        <v>1793</v>
      </c>
      <c r="B1188" t="s">
        <v>1950</v>
      </c>
      <c r="C1188" t="s">
        <v>1959</v>
      </c>
      <c r="D1188">
        <v>295</v>
      </c>
      <c r="E1188" t="s">
        <v>1447</v>
      </c>
      <c r="F1188" t="s">
        <v>2087</v>
      </c>
      <c r="G1188" t="s">
        <v>1811</v>
      </c>
      <c r="H1188" t="s">
        <v>1799</v>
      </c>
      <c r="I1188">
        <v>2</v>
      </c>
      <c r="J1188" t="s">
        <v>1799</v>
      </c>
      <c r="K1188" t="s">
        <v>1799</v>
      </c>
      <c r="L1188" t="s">
        <v>1799</v>
      </c>
      <c r="M1188" t="s">
        <v>1799</v>
      </c>
      <c r="N1188" t="s">
        <v>1799</v>
      </c>
      <c r="O1188" s="184" t="str">
        <f>"["&amp;$C1188&amp;"]["&amp;$D1188&amp;"]["&amp;$F1188&amp;"]"</f>
        <v>[S05_DefaultValues][295][InstallationNumber]</v>
      </c>
    </row>
    <row r="1189" spans="1:15" x14ac:dyDescent="0.3">
      <c r="A1189" t="s">
        <v>1793</v>
      </c>
      <c r="B1189" t="s">
        <v>1950</v>
      </c>
      <c r="C1189" t="s">
        <v>1959</v>
      </c>
      <c r="D1189">
        <v>296</v>
      </c>
      <c r="E1189" t="s">
        <v>1447</v>
      </c>
      <c r="F1189" t="s">
        <v>2087</v>
      </c>
      <c r="G1189" t="s">
        <v>1811</v>
      </c>
      <c r="H1189" t="s">
        <v>1799</v>
      </c>
      <c r="I1189">
        <v>1</v>
      </c>
      <c r="J1189" t="s">
        <v>1799</v>
      </c>
      <c r="K1189" t="s">
        <v>1799</v>
      </c>
      <c r="L1189" t="s">
        <v>1799</v>
      </c>
      <c r="M1189" t="s">
        <v>1799</v>
      </c>
      <c r="N1189" t="s">
        <v>1799</v>
      </c>
      <c r="O1189" s="184" t="str">
        <f>"["&amp;$C1189&amp;"]["&amp;$D1189&amp;"]["&amp;$F1189&amp;"]"</f>
        <v>[S05_DefaultValues][296][InstallationNumber]</v>
      </c>
    </row>
    <row r="1190" spans="1:15" x14ac:dyDescent="0.3">
      <c r="A1190" t="s">
        <v>1793</v>
      </c>
      <c r="B1190" t="s">
        <v>1950</v>
      </c>
      <c r="C1190" t="s">
        <v>1959</v>
      </c>
      <c r="D1190">
        <v>297</v>
      </c>
      <c r="E1190" t="s">
        <v>1447</v>
      </c>
      <c r="F1190" t="s">
        <v>2087</v>
      </c>
      <c r="G1190" t="s">
        <v>1811</v>
      </c>
      <c r="H1190" t="s">
        <v>1799</v>
      </c>
      <c r="I1190">
        <v>1</v>
      </c>
      <c r="J1190" t="s">
        <v>1799</v>
      </c>
      <c r="K1190" t="s">
        <v>1799</v>
      </c>
      <c r="L1190" t="s">
        <v>1799</v>
      </c>
      <c r="M1190" t="s">
        <v>1799</v>
      </c>
      <c r="N1190" t="s">
        <v>1799</v>
      </c>
      <c r="O1190" s="184" t="str">
        <f>"["&amp;$C1190&amp;"]["&amp;$D1190&amp;"]["&amp;$F1190&amp;"]"</f>
        <v>[S05_DefaultValues][297][InstallationNumber]</v>
      </c>
    </row>
    <row r="1191" spans="1:15" x14ac:dyDescent="0.3">
      <c r="A1191" t="s">
        <v>1793</v>
      </c>
      <c r="B1191" t="s">
        <v>2088</v>
      </c>
      <c r="C1191" t="s">
        <v>2089</v>
      </c>
      <c r="D1191">
        <v>1</v>
      </c>
      <c r="E1191" t="s">
        <v>1447</v>
      </c>
      <c r="F1191" t="s">
        <v>2090</v>
      </c>
      <c r="G1191" t="s">
        <v>1797</v>
      </c>
      <c r="H1191" t="s">
        <v>2091</v>
      </c>
      <c r="I1191" t="s">
        <v>1799</v>
      </c>
      <c r="J1191" t="s">
        <v>1799</v>
      </c>
      <c r="K1191" t="s">
        <v>1799</v>
      </c>
      <c r="L1191" t="s">
        <v>1799</v>
      </c>
      <c r="M1191" t="s">
        <v>1799</v>
      </c>
      <c r="N1191" t="s">
        <v>1799</v>
      </c>
      <c r="O1191" s="184" t="str">
        <f>"["&amp;$C1191&amp;"]["&amp;$D1191&amp;"]["&amp;$F1191&amp;"]"</f>
        <v>[S05_CategoryCHighestTierNotApplied][1][InstallationID]</v>
      </c>
    </row>
    <row r="1192" spans="1:15" x14ac:dyDescent="0.3">
      <c r="A1192" t="s">
        <v>1793</v>
      </c>
      <c r="B1192" t="s">
        <v>2088</v>
      </c>
      <c r="C1192" t="s">
        <v>2089</v>
      </c>
      <c r="D1192">
        <v>2</v>
      </c>
      <c r="E1192" t="s">
        <v>1447</v>
      </c>
      <c r="F1192" t="s">
        <v>2090</v>
      </c>
      <c r="G1192" t="s">
        <v>1797</v>
      </c>
      <c r="H1192" t="s">
        <v>2092</v>
      </c>
      <c r="I1192" t="s">
        <v>1799</v>
      </c>
      <c r="J1192" t="s">
        <v>1799</v>
      </c>
      <c r="K1192" t="s">
        <v>1799</v>
      </c>
      <c r="L1192" t="s">
        <v>1799</v>
      </c>
      <c r="M1192" t="s">
        <v>1799</v>
      </c>
      <c r="N1192" t="s">
        <v>1799</v>
      </c>
      <c r="O1192" s="184" t="str">
        <f>"["&amp;$C1192&amp;"]["&amp;$D1192&amp;"]["&amp;$F1192&amp;"]"</f>
        <v>[S05_CategoryCHighestTierNotApplied][2][InstallationID]</v>
      </c>
    </row>
    <row r="1193" spans="1:15" x14ac:dyDescent="0.3">
      <c r="A1193" t="s">
        <v>1793</v>
      </c>
      <c r="B1193" t="s">
        <v>2088</v>
      </c>
      <c r="C1193" t="s">
        <v>2089</v>
      </c>
      <c r="D1193">
        <v>3</v>
      </c>
      <c r="E1193" t="s">
        <v>1447</v>
      </c>
      <c r="F1193" t="s">
        <v>2090</v>
      </c>
      <c r="G1193" t="s">
        <v>1797</v>
      </c>
      <c r="H1193" t="s">
        <v>2093</v>
      </c>
      <c r="I1193" t="s">
        <v>1799</v>
      </c>
      <c r="J1193" t="s">
        <v>1799</v>
      </c>
      <c r="K1193" t="s">
        <v>1799</v>
      </c>
      <c r="L1193" t="s">
        <v>1799</v>
      </c>
      <c r="M1193" t="s">
        <v>1799</v>
      </c>
      <c r="N1193" t="s">
        <v>1799</v>
      </c>
      <c r="O1193" s="184" t="str">
        <f>"["&amp;$C1193&amp;"]["&amp;$D1193&amp;"]["&amp;$F1193&amp;"]"</f>
        <v>[S05_CategoryCHighestTierNotApplied][3][InstallationID]</v>
      </c>
    </row>
    <row r="1194" spans="1:15" x14ac:dyDescent="0.3">
      <c r="A1194" t="s">
        <v>1793</v>
      </c>
      <c r="B1194" t="s">
        <v>2088</v>
      </c>
      <c r="C1194" t="s">
        <v>2089</v>
      </c>
      <c r="D1194">
        <v>4</v>
      </c>
      <c r="E1194" t="s">
        <v>1447</v>
      </c>
      <c r="F1194" t="s">
        <v>2090</v>
      </c>
      <c r="G1194" t="s">
        <v>1797</v>
      </c>
      <c r="H1194" t="s">
        <v>2093</v>
      </c>
      <c r="I1194" t="s">
        <v>1799</v>
      </c>
      <c r="J1194" t="s">
        <v>1799</v>
      </c>
      <c r="K1194" t="s">
        <v>1799</v>
      </c>
      <c r="L1194" t="s">
        <v>1799</v>
      </c>
      <c r="M1194" t="s">
        <v>1799</v>
      </c>
      <c r="N1194" t="s">
        <v>1799</v>
      </c>
      <c r="O1194" s="184" t="str">
        <f>"["&amp;$C1194&amp;"]["&amp;$D1194&amp;"]["&amp;$F1194&amp;"]"</f>
        <v>[S05_CategoryCHighestTierNotApplied][4][InstallationID]</v>
      </c>
    </row>
    <row r="1195" spans="1:15" x14ac:dyDescent="0.3">
      <c r="A1195" t="s">
        <v>1793</v>
      </c>
      <c r="B1195" t="s">
        <v>2088</v>
      </c>
      <c r="C1195" t="s">
        <v>2089</v>
      </c>
      <c r="D1195">
        <v>5</v>
      </c>
      <c r="E1195" t="s">
        <v>1447</v>
      </c>
      <c r="F1195" t="s">
        <v>2090</v>
      </c>
      <c r="G1195" t="s">
        <v>1797</v>
      </c>
      <c r="H1195" t="s">
        <v>2093</v>
      </c>
      <c r="I1195" t="s">
        <v>1799</v>
      </c>
      <c r="J1195" t="s">
        <v>1799</v>
      </c>
      <c r="K1195" t="s">
        <v>1799</v>
      </c>
      <c r="L1195" t="s">
        <v>1799</v>
      </c>
      <c r="M1195" t="s">
        <v>1799</v>
      </c>
      <c r="N1195" t="s">
        <v>1799</v>
      </c>
      <c r="O1195" s="184" t="str">
        <f>"["&amp;$C1195&amp;"]["&amp;$D1195&amp;"]["&amp;$F1195&amp;"]"</f>
        <v>[S05_CategoryCHighestTierNotApplied][5][InstallationID]</v>
      </c>
    </row>
    <row r="1196" spans="1:15" x14ac:dyDescent="0.3">
      <c r="A1196" t="s">
        <v>1793</v>
      </c>
      <c r="B1196" t="s">
        <v>2088</v>
      </c>
      <c r="C1196" t="s">
        <v>2089</v>
      </c>
      <c r="D1196">
        <v>6</v>
      </c>
      <c r="E1196" t="s">
        <v>1447</v>
      </c>
      <c r="F1196" t="s">
        <v>2090</v>
      </c>
      <c r="G1196" t="s">
        <v>1797</v>
      </c>
      <c r="H1196" t="s">
        <v>2093</v>
      </c>
      <c r="I1196" t="s">
        <v>1799</v>
      </c>
      <c r="J1196" t="s">
        <v>1799</v>
      </c>
      <c r="K1196" t="s">
        <v>1799</v>
      </c>
      <c r="L1196" t="s">
        <v>1799</v>
      </c>
      <c r="M1196" t="s">
        <v>1799</v>
      </c>
      <c r="N1196" t="s">
        <v>1799</v>
      </c>
      <c r="O1196" s="184" t="str">
        <f>"["&amp;$C1196&amp;"]["&amp;$D1196&amp;"]["&amp;$F1196&amp;"]"</f>
        <v>[S05_CategoryCHighestTierNotApplied][6][InstallationID]</v>
      </c>
    </row>
    <row r="1197" spans="1:15" x14ac:dyDescent="0.3">
      <c r="A1197" t="s">
        <v>1793</v>
      </c>
      <c r="B1197" t="s">
        <v>2088</v>
      </c>
      <c r="C1197" t="s">
        <v>2089</v>
      </c>
      <c r="D1197">
        <v>7</v>
      </c>
      <c r="E1197" t="s">
        <v>1447</v>
      </c>
      <c r="F1197" t="s">
        <v>2090</v>
      </c>
      <c r="G1197" t="s">
        <v>1797</v>
      </c>
      <c r="H1197" t="s">
        <v>2093</v>
      </c>
      <c r="I1197" t="s">
        <v>1799</v>
      </c>
      <c r="J1197" t="s">
        <v>1799</v>
      </c>
      <c r="K1197" t="s">
        <v>1799</v>
      </c>
      <c r="L1197" t="s">
        <v>1799</v>
      </c>
      <c r="M1197" t="s">
        <v>1799</v>
      </c>
      <c r="N1197" t="s">
        <v>1799</v>
      </c>
      <c r="O1197" s="184" t="str">
        <f>"["&amp;$C1197&amp;"]["&amp;$D1197&amp;"]["&amp;$F1197&amp;"]"</f>
        <v>[S05_CategoryCHighestTierNotApplied][7][InstallationID]</v>
      </c>
    </row>
    <row r="1198" spans="1:15" x14ac:dyDescent="0.3">
      <c r="A1198" t="s">
        <v>1793</v>
      </c>
      <c r="B1198" t="s">
        <v>2088</v>
      </c>
      <c r="C1198" t="s">
        <v>2089</v>
      </c>
      <c r="D1198">
        <v>8</v>
      </c>
      <c r="E1198" t="s">
        <v>1447</v>
      </c>
      <c r="F1198" t="s">
        <v>2090</v>
      </c>
      <c r="G1198" t="s">
        <v>1797</v>
      </c>
      <c r="H1198" t="s">
        <v>2093</v>
      </c>
      <c r="I1198" t="s">
        <v>1799</v>
      </c>
      <c r="J1198" t="s">
        <v>1799</v>
      </c>
      <c r="K1198" t="s">
        <v>1799</v>
      </c>
      <c r="L1198" t="s">
        <v>1799</v>
      </c>
      <c r="M1198" t="s">
        <v>1799</v>
      </c>
      <c r="N1198" t="s">
        <v>1799</v>
      </c>
      <c r="O1198" s="184" t="str">
        <f>"["&amp;$C1198&amp;"]["&amp;$D1198&amp;"]["&amp;$F1198&amp;"]"</f>
        <v>[S05_CategoryCHighestTierNotApplied][8][InstallationID]</v>
      </c>
    </row>
    <row r="1199" spans="1:15" x14ac:dyDescent="0.3">
      <c r="A1199" t="s">
        <v>1793</v>
      </c>
      <c r="B1199" t="s">
        <v>2088</v>
      </c>
      <c r="C1199" t="s">
        <v>2089</v>
      </c>
      <c r="D1199">
        <v>9</v>
      </c>
      <c r="E1199" t="s">
        <v>1447</v>
      </c>
      <c r="F1199" t="s">
        <v>2090</v>
      </c>
      <c r="G1199" t="s">
        <v>1797</v>
      </c>
      <c r="H1199" t="s">
        <v>2093</v>
      </c>
      <c r="I1199" t="s">
        <v>1799</v>
      </c>
      <c r="J1199" t="s">
        <v>1799</v>
      </c>
      <c r="K1199" t="s">
        <v>1799</v>
      </c>
      <c r="L1199" t="s">
        <v>1799</v>
      </c>
      <c r="M1199" t="s">
        <v>1799</v>
      </c>
      <c r="N1199" t="s">
        <v>1799</v>
      </c>
      <c r="O1199" s="184" t="str">
        <f>"["&amp;$C1199&amp;"]["&amp;$D1199&amp;"]["&amp;$F1199&amp;"]"</f>
        <v>[S05_CategoryCHighestTierNotApplied][9][InstallationID]</v>
      </c>
    </row>
    <row r="1200" spans="1:15" x14ac:dyDescent="0.3">
      <c r="A1200" t="s">
        <v>1793</v>
      </c>
      <c r="B1200" t="s">
        <v>2088</v>
      </c>
      <c r="C1200" t="s">
        <v>2089</v>
      </c>
      <c r="D1200">
        <v>10</v>
      </c>
      <c r="E1200" t="s">
        <v>1447</v>
      </c>
      <c r="F1200" t="s">
        <v>2090</v>
      </c>
      <c r="G1200" t="s">
        <v>1797</v>
      </c>
      <c r="H1200" t="s">
        <v>2093</v>
      </c>
      <c r="I1200" t="s">
        <v>1799</v>
      </c>
      <c r="J1200" t="s">
        <v>1799</v>
      </c>
      <c r="K1200" t="s">
        <v>1799</v>
      </c>
      <c r="L1200" t="s">
        <v>1799</v>
      </c>
      <c r="M1200" t="s">
        <v>1799</v>
      </c>
      <c r="N1200" t="s">
        <v>1799</v>
      </c>
      <c r="O1200" s="184" t="str">
        <f>"["&amp;$C1200&amp;"]["&amp;$D1200&amp;"]["&amp;$F1200&amp;"]"</f>
        <v>[S05_CategoryCHighestTierNotApplied][10][InstallationID]</v>
      </c>
    </row>
    <row r="1201" spans="1:15" x14ac:dyDescent="0.3">
      <c r="A1201" t="s">
        <v>1793</v>
      </c>
      <c r="B1201" t="s">
        <v>2088</v>
      </c>
      <c r="C1201" t="s">
        <v>2089</v>
      </c>
      <c r="D1201">
        <v>11</v>
      </c>
      <c r="E1201" t="s">
        <v>1447</v>
      </c>
      <c r="F1201" t="s">
        <v>2090</v>
      </c>
      <c r="G1201" t="s">
        <v>1797</v>
      </c>
      <c r="H1201" t="s">
        <v>2093</v>
      </c>
      <c r="I1201" t="s">
        <v>1799</v>
      </c>
      <c r="J1201" t="s">
        <v>1799</v>
      </c>
      <c r="K1201" t="s">
        <v>1799</v>
      </c>
      <c r="L1201" t="s">
        <v>1799</v>
      </c>
      <c r="M1201" t="s">
        <v>1799</v>
      </c>
      <c r="N1201" t="s">
        <v>1799</v>
      </c>
      <c r="O1201" s="184" t="str">
        <f>"["&amp;$C1201&amp;"]["&amp;$D1201&amp;"]["&amp;$F1201&amp;"]"</f>
        <v>[S05_CategoryCHighestTierNotApplied][11][InstallationID]</v>
      </c>
    </row>
    <row r="1202" spans="1:15" x14ac:dyDescent="0.3">
      <c r="A1202" t="s">
        <v>1793</v>
      </c>
      <c r="B1202" t="s">
        <v>2088</v>
      </c>
      <c r="C1202" t="s">
        <v>2089</v>
      </c>
      <c r="D1202">
        <v>12</v>
      </c>
      <c r="E1202" t="s">
        <v>1447</v>
      </c>
      <c r="F1202" t="s">
        <v>2090</v>
      </c>
      <c r="G1202" t="s">
        <v>1797</v>
      </c>
      <c r="H1202" t="s">
        <v>2093</v>
      </c>
      <c r="I1202" t="s">
        <v>1799</v>
      </c>
      <c r="J1202" t="s">
        <v>1799</v>
      </c>
      <c r="K1202" t="s">
        <v>1799</v>
      </c>
      <c r="L1202" t="s">
        <v>1799</v>
      </c>
      <c r="M1202" t="s">
        <v>1799</v>
      </c>
      <c r="N1202" t="s">
        <v>1799</v>
      </c>
      <c r="O1202" s="184" t="str">
        <f>"["&amp;$C1202&amp;"]["&amp;$D1202&amp;"]["&amp;$F1202&amp;"]"</f>
        <v>[S05_CategoryCHighestTierNotApplied][12][InstallationID]</v>
      </c>
    </row>
    <row r="1203" spans="1:15" x14ac:dyDescent="0.3">
      <c r="A1203" t="s">
        <v>1793</v>
      </c>
      <c r="B1203" t="s">
        <v>2088</v>
      </c>
      <c r="C1203" t="s">
        <v>2089</v>
      </c>
      <c r="D1203">
        <v>13</v>
      </c>
      <c r="E1203" t="s">
        <v>1447</v>
      </c>
      <c r="F1203" t="s">
        <v>2090</v>
      </c>
      <c r="G1203" t="s">
        <v>1797</v>
      </c>
      <c r="H1203" t="s">
        <v>2093</v>
      </c>
      <c r="I1203" t="s">
        <v>1799</v>
      </c>
      <c r="J1203" t="s">
        <v>1799</v>
      </c>
      <c r="K1203" t="s">
        <v>1799</v>
      </c>
      <c r="L1203" t="s">
        <v>1799</v>
      </c>
      <c r="M1203" t="s">
        <v>1799</v>
      </c>
      <c r="N1203" t="s">
        <v>1799</v>
      </c>
      <c r="O1203" s="184" t="str">
        <f>"["&amp;$C1203&amp;"]["&amp;$D1203&amp;"]["&amp;$F1203&amp;"]"</f>
        <v>[S05_CategoryCHighestTierNotApplied][13][InstallationID]</v>
      </c>
    </row>
    <row r="1204" spans="1:15" x14ac:dyDescent="0.3">
      <c r="A1204" t="s">
        <v>1793</v>
      </c>
      <c r="B1204" t="s">
        <v>2088</v>
      </c>
      <c r="C1204" t="s">
        <v>2089</v>
      </c>
      <c r="D1204">
        <v>14</v>
      </c>
      <c r="E1204" t="s">
        <v>1447</v>
      </c>
      <c r="F1204" t="s">
        <v>2090</v>
      </c>
      <c r="G1204" t="s">
        <v>1797</v>
      </c>
      <c r="H1204" t="s">
        <v>2093</v>
      </c>
      <c r="I1204" t="s">
        <v>1799</v>
      </c>
      <c r="J1204" t="s">
        <v>1799</v>
      </c>
      <c r="K1204" t="s">
        <v>1799</v>
      </c>
      <c r="L1204" t="s">
        <v>1799</v>
      </c>
      <c r="M1204" t="s">
        <v>1799</v>
      </c>
      <c r="N1204" t="s">
        <v>1799</v>
      </c>
      <c r="O1204" s="184" t="str">
        <f>"["&amp;$C1204&amp;"]["&amp;$D1204&amp;"]["&amp;$F1204&amp;"]"</f>
        <v>[S05_CategoryCHighestTierNotApplied][14][InstallationID]</v>
      </c>
    </row>
    <row r="1205" spans="1:15" x14ac:dyDescent="0.3">
      <c r="A1205" t="s">
        <v>1793</v>
      </c>
      <c r="B1205" t="s">
        <v>2088</v>
      </c>
      <c r="C1205" t="s">
        <v>2089</v>
      </c>
      <c r="D1205">
        <v>15</v>
      </c>
      <c r="E1205" t="s">
        <v>1447</v>
      </c>
      <c r="F1205" t="s">
        <v>2090</v>
      </c>
      <c r="G1205" t="s">
        <v>1797</v>
      </c>
      <c r="H1205" t="s">
        <v>2094</v>
      </c>
      <c r="I1205" t="s">
        <v>1799</v>
      </c>
      <c r="J1205" t="s">
        <v>1799</v>
      </c>
      <c r="K1205" t="s">
        <v>1799</v>
      </c>
      <c r="L1205" t="s">
        <v>1799</v>
      </c>
      <c r="M1205" t="s">
        <v>1799</v>
      </c>
      <c r="N1205" t="s">
        <v>1799</v>
      </c>
      <c r="O1205" s="184" t="str">
        <f>"["&amp;$C1205&amp;"]["&amp;$D1205&amp;"]["&amp;$F1205&amp;"]"</f>
        <v>[S05_CategoryCHighestTierNotApplied][15][InstallationID]</v>
      </c>
    </row>
    <row r="1206" spans="1:15" x14ac:dyDescent="0.3">
      <c r="A1206" t="s">
        <v>1793</v>
      </c>
      <c r="B1206" t="s">
        <v>2088</v>
      </c>
      <c r="C1206" t="s">
        <v>2089</v>
      </c>
      <c r="D1206">
        <v>16</v>
      </c>
      <c r="E1206" t="s">
        <v>1447</v>
      </c>
      <c r="F1206" t="s">
        <v>2090</v>
      </c>
      <c r="G1206" t="s">
        <v>1797</v>
      </c>
      <c r="H1206" t="s">
        <v>2095</v>
      </c>
      <c r="I1206" t="s">
        <v>1799</v>
      </c>
      <c r="J1206" t="s">
        <v>1799</v>
      </c>
      <c r="K1206" t="s">
        <v>1799</v>
      </c>
      <c r="L1206" t="s">
        <v>1799</v>
      </c>
      <c r="M1206" t="s">
        <v>1799</v>
      </c>
      <c r="N1206" t="s">
        <v>1799</v>
      </c>
      <c r="O1206" s="184" t="str">
        <f>"["&amp;$C1206&amp;"]["&amp;$D1206&amp;"]["&amp;$F1206&amp;"]"</f>
        <v>[S05_CategoryCHighestTierNotApplied][16][InstallationID]</v>
      </c>
    </row>
    <row r="1207" spans="1:15" x14ac:dyDescent="0.3">
      <c r="A1207" t="s">
        <v>1793</v>
      </c>
      <c r="B1207" t="s">
        <v>2088</v>
      </c>
      <c r="C1207" t="s">
        <v>2089</v>
      </c>
      <c r="D1207">
        <v>17</v>
      </c>
      <c r="E1207" t="s">
        <v>1447</v>
      </c>
      <c r="F1207" t="s">
        <v>2090</v>
      </c>
      <c r="G1207" t="s">
        <v>1797</v>
      </c>
      <c r="H1207" t="s">
        <v>2095</v>
      </c>
      <c r="I1207" t="s">
        <v>1799</v>
      </c>
      <c r="J1207" t="s">
        <v>1799</v>
      </c>
      <c r="K1207" t="s">
        <v>1799</v>
      </c>
      <c r="L1207" t="s">
        <v>1799</v>
      </c>
      <c r="M1207" t="s">
        <v>1799</v>
      </c>
      <c r="N1207" t="s">
        <v>1799</v>
      </c>
      <c r="O1207" s="184" t="str">
        <f>"["&amp;$C1207&amp;"]["&amp;$D1207&amp;"]["&amp;$F1207&amp;"]"</f>
        <v>[S05_CategoryCHighestTierNotApplied][17][InstallationID]</v>
      </c>
    </row>
    <row r="1208" spans="1:15" x14ac:dyDescent="0.3">
      <c r="A1208" t="s">
        <v>1793</v>
      </c>
      <c r="B1208" t="s">
        <v>2088</v>
      </c>
      <c r="C1208" t="s">
        <v>2089</v>
      </c>
      <c r="D1208">
        <v>18</v>
      </c>
      <c r="E1208" t="s">
        <v>1447</v>
      </c>
      <c r="F1208" t="s">
        <v>2090</v>
      </c>
      <c r="G1208" t="s">
        <v>1797</v>
      </c>
      <c r="H1208" t="s">
        <v>2096</v>
      </c>
      <c r="I1208" t="s">
        <v>1799</v>
      </c>
      <c r="J1208" t="s">
        <v>1799</v>
      </c>
      <c r="K1208" t="s">
        <v>1799</v>
      </c>
      <c r="L1208" t="s">
        <v>1799</v>
      </c>
      <c r="M1208" t="s">
        <v>1799</v>
      </c>
      <c r="N1208" t="s">
        <v>1799</v>
      </c>
      <c r="O1208" s="184" t="str">
        <f>"["&amp;$C1208&amp;"]["&amp;$D1208&amp;"]["&amp;$F1208&amp;"]"</f>
        <v>[S05_CategoryCHighestTierNotApplied][18][InstallationID]</v>
      </c>
    </row>
    <row r="1209" spans="1:15" x14ac:dyDescent="0.3">
      <c r="A1209" t="s">
        <v>1793</v>
      </c>
      <c r="B1209" t="s">
        <v>2088</v>
      </c>
      <c r="C1209" t="s">
        <v>2089</v>
      </c>
      <c r="D1209">
        <v>19</v>
      </c>
      <c r="E1209" t="s">
        <v>1447</v>
      </c>
      <c r="F1209" t="s">
        <v>2090</v>
      </c>
      <c r="G1209" t="s">
        <v>1797</v>
      </c>
      <c r="H1209" t="s">
        <v>2096</v>
      </c>
      <c r="I1209" t="s">
        <v>1799</v>
      </c>
      <c r="J1209" t="s">
        <v>1799</v>
      </c>
      <c r="K1209" t="s">
        <v>1799</v>
      </c>
      <c r="L1209" t="s">
        <v>1799</v>
      </c>
      <c r="M1209" t="s">
        <v>1799</v>
      </c>
      <c r="N1209" t="s">
        <v>1799</v>
      </c>
      <c r="O1209" s="184" t="str">
        <f>"["&amp;$C1209&amp;"]["&amp;$D1209&amp;"]["&amp;$F1209&amp;"]"</f>
        <v>[S05_CategoryCHighestTierNotApplied][19][InstallationID]</v>
      </c>
    </row>
    <row r="1210" spans="1:15" x14ac:dyDescent="0.3">
      <c r="A1210" t="s">
        <v>1793</v>
      </c>
      <c r="B1210" t="s">
        <v>2088</v>
      </c>
      <c r="C1210" t="s">
        <v>2089</v>
      </c>
      <c r="D1210">
        <v>20</v>
      </c>
      <c r="E1210" t="s">
        <v>1447</v>
      </c>
      <c r="F1210" t="s">
        <v>2090</v>
      </c>
      <c r="G1210" t="s">
        <v>1797</v>
      </c>
      <c r="H1210" t="s">
        <v>2096</v>
      </c>
      <c r="I1210" t="s">
        <v>1799</v>
      </c>
      <c r="J1210" t="s">
        <v>1799</v>
      </c>
      <c r="K1210" t="s">
        <v>1799</v>
      </c>
      <c r="L1210" t="s">
        <v>1799</v>
      </c>
      <c r="M1210" t="s">
        <v>1799</v>
      </c>
      <c r="N1210" t="s">
        <v>1799</v>
      </c>
      <c r="O1210" s="184" t="str">
        <f>"["&amp;$C1210&amp;"]["&amp;$D1210&amp;"]["&amp;$F1210&amp;"]"</f>
        <v>[S05_CategoryCHighestTierNotApplied][20][InstallationID]</v>
      </c>
    </row>
    <row r="1211" spans="1:15" x14ac:dyDescent="0.3">
      <c r="A1211" t="s">
        <v>1793</v>
      </c>
      <c r="B1211" t="s">
        <v>2088</v>
      </c>
      <c r="C1211" t="s">
        <v>2089</v>
      </c>
      <c r="D1211">
        <v>21</v>
      </c>
      <c r="E1211" t="s">
        <v>1447</v>
      </c>
      <c r="F1211" t="s">
        <v>2090</v>
      </c>
      <c r="G1211" t="s">
        <v>1797</v>
      </c>
      <c r="H1211" t="s">
        <v>2097</v>
      </c>
      <c r="I1211" t="s">
        <v>1799</v>
      </c>
      <c r="J1211" t="s">
        <v>1799</v>
      </c>
      <c r="K1211" t="s">
        <v>1799</v>
      </c>
      <c r="L1211" t="s">
        <v>1799</v>
      </c>
      <c r="M1211" t="s">
        <v>1799</v>
      </c>
      <c r="N1211" t="s">
        <v>1799</v>
      </c>
      <c r="O1211" s="184" t="str">
        <f>"["&amp;$C1211&amp;"]["&amp;$D1211&amp;"]["&amp;$F1211&amp;"]"</f>
        <v>[S05_CategoryCHighestTierNotApplied][21][InstallationID]</v>
      </c>
    </row>
    <row r="1212" spans="1:15" x14ac:dyDescent="0.3">
      <c r="A1212" t="s">
        <v>1793</v>
      </c>
      <c r="B1212" t="s">
        <v>2088</v>
      </c>
      <c r="C1212" t="s">
        <v>2089</v>
      </c>
      <c r="D1212">
        <v>22</v>
      </c>
      <c r="E1212" t="s">
        <v>1447</v>
      </c>
      <c r="F1212" t="s">
        <v>2090</v>
      </c>
      <c r="G1212" t="s">
        <v>1797</v>
      </c>
      <c r="H1212" t="s">
        <v>2098</v>
      </c>
      <c r="I1212" t="s">
        <v>1799</v>
      </c>
      <c r="J1212" t="s">
        <v>1799</v>
      </c>
      <c r="K1212" t="s">
        <v>1799</v>
      </c>
      <c r="L1212" t="s">
        <v>1799</v>
      </c>
      <c r="M1212" t="s">
        <v>1799</v>
      </c>
      <c r="N1212" t="s">
        <v>1799</v>
      </c>
      <c r="O1212" s="184" t="str">
        <f>"["&amp;$C1212&amp;"]["&amp;$D1212&amp;"]["&amp;$F1212&amp;"]"</f>
        <v>[S05_CategoryCHighestTierNotApplied][22][InstallationID]</v>
      </c>
    </row>
    <row r="1213" spans="1:15" x14ac:dyDescent="0.3">
      <c r="A1213" t="s">
        <v>1793</v>
      </c>
      <c r="B1213" t="s">
        <v>2088</v>
      </c>
      <c r="C1213" t="s">
        <v>2089</v>
      </c>
      <c r="D1213">
        <v>23</v>
      </c>
      <c r="E1213" t="s">
        <v>1447</v>
      </c>
      <c r="F1213" t="s">
        <v>2090</v>
      </c>
      <c r="G1213" t="s">
        <v>1797</v>
      </c>
      <c r="H1213" t="s">
        <v>2098</v>
      </c>
      <c r="I1213" t="s">
        <v>1799</v>
      </c>
      <c r="J1213" t="s">
        <v>1799</v>
      </c>
      <c r="K1213" t="s">
        <v>1799</v>
      </c>
      <c r="L1213" t="s">
        <v>1799</v>
      </c>
      <c r="M1213" t="s">
        <v>1799</v>
      </c>
      <c r="N1213" t="s">
        <v>1799</v>
      </c>
      <c r="O1213" s="184" t="str">
        <f>"["&amp;$C1213&amp;"]["&amp;$D1213&amp;"]["&amp;$F1213&amp;"]"</f>
        <v>[S05_CategoryCHighestTierNotApplied][23][InstallationID]</v>
      </c>
    </row>
    <row r="1214" spans="1:15" x14ac:dyDescent="0.3">
      <c r="A1214" t="s">
        <v>1793</v>
      </c>
      <c r="B1214" t="s">
        <v>2088</v>
      </c>
      <c r="C1214" t="s">
        <v>2089</v>
      </c>
      <c r="D1214">
        <v>24</v>
      </c>
      <c r="E1214" t="s">
        <v>1447</v>
      </c>
      <c r="F1214" t="s">
        <v>2090</v>
      </c>
      <c r="G1214" t="s">
        <v>1797</v>
      </c>
      <c r="H1214" t="s">
        <v>2098</v>
      </c>
      <c r="I1214" t="s">
        <v>1799</v>
      </c>
      <c r="J1214" t="s">
        <v>1799</v>
      </c>
      <c r="K1214" t="s">
        <v>1799</v>
      </c>
      <c r="L1214" t="s">
        <v>1799</v>
      </c>
      <c r="M1214" t="s">
        <v>1799</v>
      </c>
      <c r="N1214" t="s">
        <v>1799</v>
      </c>
      <c r="O1214" s="184" t="str">
        <f>"["&amp;$C1214&amp;"]["&amp;$D1214&amp;"]["&amp;$F1214&amp;"]"</f>
        <v>[S05_CategoryCHighestTierNotApplied][24][InstallationID]</v>
      </c>
    </row>
    <row r="1215" spans="1:15" x14ac:dyDescent="0.3">
      <c r="A1215" t="s">
        <v>1793</v>
      </c>
      <c r="B1215" t="s">
        <v>2088</v>
      </c>
      <c r="C1215" t="s">
        <v>2089</v>
      </c>
      <c r="D1215">
        <v>25</v>
      </c>
      <c r="E1215" t="s">
        <v>1447</v>
      </c>
      <c r="F1215" t="s">
        <v>2090</v>
      </c>
      <c r="G1215" t="s">
        <v>1797</v>
      </c>
      <c r="H1215" t="s">
        <v>2099</v>
      </c>
      <c r="I1215" t="s">
        <v>1799</v>
      </c>
      <c r="J1215" t="s">
        <v>1799</v>
      </c>
      <c r="K1215" t="s">
        <v>1799</v>
      </c>
      <c r="L1215" t="s">
        <v>1799</v>
      </c>
      <c r="M1215" t="s">
        <v>1799</v>
      </c>
      <c r="N1215" t="s">
        <v>1799</v>
      </c>
      <c r="O1215" s="184" t="str">
        <f>"["&amp;$C1215&amp;"]["&amp;$D1215&amp;"]["&amp;$F1215&amp;"]"</f>
        <v>[S05_CategoryCHighestTierNotApplied][25][InstallationID]</v>
      </c>
    </row>
    <row r="1216" spans="1:15" x14ac:dyDescent="0.3">
      <c r="A1216" t="s">
        <v>1793</v>
      </c>
      <c r="B1216" t="s">
        <v>2088</v>
      </c>
      <c r="C1216" t="s">
        <v>2089</v>
      </c>
      <c r="D1216">
        <v>26</v>
      </c>
      <c r="E1216" t="s">
        <v>1447</v>
      </c>
      <c r="F1216" t="s">
        <v>2090</v>
      </c>
      <c r="G1216" t="s">
        <v>1797</v>
      </c>
      <c r="H1216" t="s">
        <v>2099</v>
      </c>
      <c r="I1216" t="s">
        <v>1799</v>
      </c>
      <c r="J1216" t="s">
        <v>1799</v>
      </c>
      <c r="K1216" t="s">
        <v>1799</v>
      </c>
      <c r="L1216" t="s">
        <v>1799</v>
      </c>
      <c r="M1216" t="s">
        <v>1799</v>
      </c>
      <c r="N1216" t="s">
        <v>1799</v>
      </c>
      <c r="O1216" s="184" t="str">
        <f>"["&amp;$C1216&amp;"]["&amp;$D1216&amp;"]["&amp;$F1216&amp;"]"</f>
        <v>[S05_CategoryCHighestTierNotApplied][26][InstallationID]</v>
      </c>
    </row>
    <row r="1217" spans="1:15" x14ac:dyDescent="0.3">
      <c r="A1217" t="s">
        <v>1793</v>
      </c>
      <c r="B1217" t="s">
        <v>2088</v>
      </c>
      <c r="C1217" t="s">
        <v>2089</v>
      </c>
      <c r="D1217">
        <v>27</v>
      </c>
      <c r="E1217" t="s">
        <v>1447</v>
      </c>
      <c r="F1217" t="s">
        <v>2090</v>
      </c>
      <c r="G1217" t="s">
        <v>1797</v>
      </c>
      <c r="H1217" t="s">
        <v>2100</v>
      </c>
      <c r="I1217" t="s">
        <v>1799</v>
      </c>
      <c r="J1217" t="s">
        <v>1799</v>
      </c>
      <c r="K1217" t="s">
        <v>1799</v>
      </c>
      <c r="L1217" t="s">
        <v>1799</v>
      </c>
      <c r="M1217" t="s">
        <v>1799</v>
      </c>
      <c r="N1217" t="s">
        <v>1799</v>
      </c>
      <c r="O1217" s="184" t="str">
        <f>"["&amp;$C1217&amp;"]["&amp;$D1217&amp;"]["&amp;$F1217&amp;"]"</f>
        <v>[S05_CategoryCHighestTierNotApplied][27][InstallationID]</v>
      </c>
    </row>
    <row r="1218" spans="1:15" x14ac:dyDescent="0.3">
      <c r="A1218" t="s">
        <v>1793</v>
      </c>
      <c r="B1218" t="s">
        <v>2088</v>
      </c>
      <c r="C1218" t="s">
        <v>2089</v>
      </c>
      <c r="D1218">
        <v>28</v>
      </c>
      <c r="E1218" t="s">
        <v>1447</v>
      </c>
      <c r="F1218" t="s">
        <v>2090</v>
      </c>
      <c r="G1218" t="s">
        <v>1797</v>
      </c>
      <c r="H1218" t="s">
        <v>2101</v>
      </c>
      <c r="I1218" t="s">
        <v>1799</v>
      </c>
      <c r="J1218" t="s">
        <v>1799</v>
      </c>
      <c r="K1218" t="s">
        <v>1799</v>
      </c>
      <c r="L1218" t="s">
        <v>1799</v>
      </c>
      <c r="M1218" t="s">
        <v>1799</v>
      </c>
      <c r="N1218" t="s">
        <v>1799</v>
      </c>
      <c r="O1218" s="184" t="str">
        <f>"["&amp;$C1218&amp;"]["&amp;$D1218&amp;"]["&amp;$F1218&amp;"]"</f>
        <v>[S05_CategoryCHighestTierNotApplied][28][InstallationID]</v>
      </c>
    </row>
    <row r="1219" spans="1:15" x14ac:dyDescent="0.3">
      <c r="A1219" t="s">
        <v>1793</v>
      </c>
      <c r="B1219" t="s">
        <v>2088</v>
      </c>
      <c r="C1219" t="s">
        <v>2089</v>
      </c>
      <c r="D1219">
        <v>29</v>
      </c>
      <c r="E1219" t="s">
        <v>1447</v>
      </c>
      <c r="F1219" t="s">
        <v>2090</v>
      </c>
      <c r="G1219" t="s">
        <v>1797</v>
      </c>
      <c r="H1219" t="s">
        <v>2102</v>
      </c>
      <c r="I1219" t="s">
        <v>1799</v>
      </c>
      <c r="J1219" t="s">
        <v>1799</v>
      </c>
      <c r="K1219" t="s">
        <v>1799</v>
      </c>
      <c r="L1219" t="s">
        <v>1799</v>
      </c>
      <c r="M1219" t="s">
        <v>1799</v>
      </c>
      <c r="N1219" t="s">
        <v>1799</v>
      </c>
      <c r="O1219" s="184" t="str">
        <f>"["&amp;$C1219&amp;"]["&amp;$D1219&amp;"]["&amp;$F1219&amp;"]"</f>
        <v>[S05_CategoryCHighestTierNotApplied][29][InstallationID]</v>
      </c>
    </row>
    <row r="1220" spans="1:15" x14ac:dyDescent="0.3">
      <c r="A1220" t="s">
        <v>1793</v>
      </c>
      <c r="B1220" t="s">
        <v>2088</v>
      </c>
      <c r="C1220" t="s">
        <v>2089</v>
      </c>
      <c r="D1220">
        <v>30</v>
      </c>
      <c r="E1220" t="s">
        <v>1447</v>
      </c>
      <c r="F1220" t="s">
        <v>2090</v>
      </c>
      <c r="G1220" t="s">
        <v>1797</v>
      </c>
      <c r="H1220" t="s">
        <v>2102</v>
      </c>
      <c r="I1220" t="s">
        <v>1799</v>
      </c>
      <c r="J1220" t="s">
        <v>1799</v>
      </c>
      <c r="K1220" t="s">
        <v>1799</v>
      </c>
      <c r="L1220" t="s">
        <v>1799</v>
      </c>
      <c r="M1220" t="s">
        <v>1799</v>
      </c>
      <c r="N1220" t="s">
        <v>1799</v>
      </c>
      <c r="O1220" s="184" t="str">
        <f>"["&amp;$C1220&amp;"]["&amp;$D1220&amp;"]["&amp;$F1220&amp;"]"</f>
        <v>[S05_CategoryCHighestTierNotApplied][30][InstallationID]</v>
      </c>
    </row>
    <row r="1221" spans="1:15" x14ac:dyDescent="0.3">
      <c r="A1221" t="s">
        <v>1793</v>
      </c>
      <c r="B1221" t="s">
        <v>2088</v>
      </c>
      <c r="C1221" t="s">
        <v>2089</v>
      </c>
      <c r="D1221">
        <v>31</v>
      </c>
      <c r="E1221" t="s">
        <v>1447</v>
      </c>
      <c r="F1221" t="s">
        <v>2090</v>
      </c>
      <c r="G1221" t="s">
        <v>1797</v>
      </c>
      <c r="H1221" t="s">
        <v>2102</v>
      </c>
      <c r="I1221" t="s">
        <v>1799</v>
      </c>
      <c r="J1221" t="s">
        <v>1799</v>
      </c>
      <c r="K1221" t="s">
        <v>1799</v>
      </c>
      <c r="L1221" t="s">
        <v>1799</v>
      </c>
      <c r="M1221" t="s">
        <v>1799</v>
      </c>
      <c r="N1221" t="s">
        <v>1799</v>
      </c>
      <c r="O1221" s="184" t="str">
        <f>"["&amp;$C1221&amp;"]["&amp;$D1221&amp;"]["&amp;$F1221&amp;"]"</f>
        <v>[S05_CategoryCHighestTierNotApplied][31][InstallationID]</v>
      </c>
    </row>
    <row r="1222" spans="1:15" x14ac:dyDescent="0.3">
      <c r="A1222" t="s">
        <v>1793</v>
      </c>
      <c r="B1222" t="s">
        <v>2088</v>
      </c>
      <c r="C1222" t="s">
        <v>2089</v>
      </c>
      <c r="D1222">
        <v>32</v>
      </c>
      <c r="E1222" t="s">
        <v>1447</v>
      </c>
      <c r="F1222" t="s">
        <v>2090</v>
      </c>
      <c r="G1222" t="s">
        <v>1797</v>
      </c>
      <c r="H1222" t="s">
        <v>2103</v>
      </c>
      <c r="I1222" t="s">
        <v>1799</v>
      </c>
      <c r="J1222" t="s">
        <v>1799</v>
      </c>
      <c r="K1222" t="s">
        <v>1799</v>
      </c>
      <c r="L1222" t="s">
        <v>1799</v>
      </c>
      <c r="M1222" t="s">
        <v>1799</v>
      </c>
      <c r="N1222" t="s">
        <v>1799</v>
      </c>
      <c r="O1222" s="184" t="str">
        <f>"["&amp;$C1222&amp;"]["&amp;$D1222&amp;"]["&amp;$F1222&amp;"]"</f>
        <v>[S05_CategoryCHighestTierNotApplied][32][InstallationID]</v>
      </c>
    </row>
    <row r="1223" spans="1:15" x14ac:dyDescent="0.3">
      <c r="A1223" t="s">
        <v>1793</v>
      </c>
      <c r="B1223" t="s">
        <v>2088</v>
      </c>
      <c r="C1223" t="s">
        <v>2089</v>
      </c>
      <c r="D1223">
        <v>33</v>
      </c>
      <c r="E1223" t="s">
        <v>1447</v>
      </c>
      <c r="F1223" t="s">
        <v>2090</v>
      </c>
      <c r="G1223" t="s">
        <v>1797</v>
      </c>
      <c r="H1223" t="s">
        <v>2104</v>
      </c>
      <c r="I1223" t="s">
        <v>1799</v>
      </c>
      <c r="J1223" t="s">
        <v>1799</v>
      </c>
      <c r="K1223" t="s">
        <v>1799</v>
      </c>
      <c r="L1223" t="s">
        <v>1799</v>
      </c>
      <c r="M1223" t="s">
        <v>1799</v>
      </c>
      <c r="N1223" t="s">
        <v>1799</v>
      </c>
      <c r="O1223" s="184" t="str">
        <f>"["&amp;$C1223&amp;"]["&amp;$D1223&amp;"]["&amp;$F1223&amp;"]"</f>
        <v>[S05_CategoryCHighestTierNotApplied][33][InstallationID]</v>
      </c>
    </row>
    <row r="1224" spans="1:15" x14ac:dyDescent="0.3">
      <c r="A1224" t="s">
        <v>1793</v>
      </c>
      <c r="B1224" t="s">
        <v>2088</v>
      </c>
      <c r="C1224" t="s">
        <v>2089</v>
      </c>
      <c r="D1224">
        <v>34</v>
      </c>
      <c r="E1224" t="s">
        <v>1447</v>
      </c>
      <c r="F1224" t="s">
        <v>2090</v>
      </c>
      <c r="G1224" t="s">
        <v>1797</v>
      </c>
      <c r="H1224" t="s">
        <v>2104</v>
      </c>
      <c r="I1224" t="s">
        <v>1799</v>
      </c>
      <c r="J1224" t="s">
        <v>1799</v>
      </c>
      <c r="K1224" t="s">
        <v>1799</v>
      </c>
      <c r="L1224" t="s">
        <v>1799</v>
      </c>
      <c r="M1224" t="s">
        <v>1799</v>
      </c>
      <c r="N1224" t="s">
        <v>1799</v>
      </c>
      <c r="O1224" s="184" t="str">
        <f>"["&amp;$C1224&amp;"]["&amp;$D1224&amp;"]["&amp;$F1224&amp;"]"</f>
        <v>[S05_CategoryCHighestTierNotApplied][34][InstallationID]</v>
      </c>
    </row>
    <row r="1225" spans="1:15" x14ac:dyDescent="0.3">
      <c r="A1225" t="s">
        <v>1793</v>
      </c>
      <c r="B1225" t="s">
        <v>2088</v>
      </c>
      <c r="C1225" t="s">
        <v>2089</v>
      </c>
      <c r="D1225">
        <v>35</v>
      </c>
      <c r="E1225" t="s">
        <v>1447</v>
      </c>
      <c r="F1225" t="s">
        <v>2090</v>
      </c>
      <c r="G1225" t="s">
        <v>1797</v>
      </c>
      <c r="H1225" t="s">
        <v>2105</v>
      </c>
      <c r="I1225" t="s">
        <v>1799</v>
      </c>
      <c r="J1225" t="s">
        <v>1799</v>
      </c>
      <c r="K1225" t="s">
        <v>1799</v>
      </c>
      <c r="L1225" t="s">
        <v>1799</v>
      </c>
      <c r="M1225" t="s">
        <v>1799</v>
      </c>
      <c r="N1225" t="s">
        <v>1799</v>
      </c>
      <c r="O1225" s="184" t="str">
        <f>"["&amp;$C1225&amp;"]["&amp;$D1225&amp;"]["&amp;$F1225&amp;"]"</f>
        <v>[S05_CategoryCHighestTierNotApplied][35][InstallationID]</v>
      </c>
    </row>
    <row r="1226" spans="1:15" x14ac:dyDescent="0.3">
      <c r="A1226" t="s">
        <v>1793</v>
      </c>
      <c r="B1226" t="s">
        <v>2088</v>
      </c>
      <c r="C1226" t="s">
        <v>2089</v>
      </c>
      <c r="D1226">
        <v>36</v>
      </c>
      <c r="E1226" t="s">
        <v>1447</v>
      </c>
      <c r="F1226" t="s">
        <v>2090</v>
      </c>
      <c r="G1226" t="s">
        <v>1797</v>
      </c>
      <c r="H1226" t="s">
        <v>2106</v>
      </c>
      <c r="I1226" t="s">
        <v>1799</v>
      </c>
      <c r="J1226" t="s">
        <v>1799</v>
      </c>
      <c r="K1226" t="s">
        <v>1799</v>
      </c>
      <c r="L1226" t="s">
        <v>1799</v>
      </c>
      <c r="M1226" t="s">
        <v>1799</v>
      </c>
      <c r="N1226" t="s">
        <v>1799</v>
      </c>
      <c r="O1226" s="184" t="str">
        <f>"["&amp;$C1226&amp;"]["&amp;$D1226&amp;"]["&amp;$F1226&amp;"]"</f>
        <v>[S05_CategoryCHighestTierNotApplied][36][InstallationID]</v>
      </c>
    </row>
    <row r="1227" spans="1:15" x14ac:dyDescent="0.3">
      <c r="A1227" t="s">
        <v>1793</v>
      </c>
      <c r="B1227" t="s">
        <v>2088</v>
      </c>
      <c r="C1227" t="s">
        <v>2089</v>
      </c>
      <c r="D1227">
        <v>37</v>
      </c>
      <c r="E1227" t="s">
        <v>1447</v>
      </c>
      <c r="F1227" t="s">
        <v>2090</v>
      </c>
      <c r="G1227" t="s">
        <v>1797</v>
      </c>
      <c r="H1227" t="s">
        <v>2092</v>
      </c>
      <c r="I1227" t="s">
        <v>1799</v>
      </c>
      <c r="J1227" t="s">
        <v>1799</v>
      </c>
      <c r="K1227" t="s">
        <v>1799</v>
      </c>
      <c r="L1227" t="s">
        <v>1799</v>
      </c>
      <c r="M1227" t="s">
        <v>1799</v>
      </c>
      <c r="N1227" t="s">
        <v>1799</v>
      </c>
      <c r="O1227" s="184" t="str">
        <f>"["&amp;$C1227&amp;"]["&amp;$D1227&amp;"]["&amp;$F1227&amp;"]"</f>
        <v>[S05_CategoryCHighestTierNotApplied][37][InstallationID]</v>
      </c>
    </row>
    <row r="1228" spans="1:15" x14ac:dyDescent="0.3">
      <c r="A1228" t="s">
        <v>1793</v>
      </c>
      <c r="B1228" t="s">
        <v>2088</v>
      </c>
      <c r="C1228" t="s">
        <v>2089</v>
      </c>
      <c r="D1228">
        <v>38</v>
      </c>
      <c r="E1228" t="s">
        <v>1447</v>
      </c>
      <c r="F1228" t="s">
        <v>2090</v>
      </c>
      <c r="G1228" t="s">
        <v>1797</v>
      </c>
      <c r="H1228" t="s">
        <v>2094</v>
      </c>
      <c r="I1228" t="s">
        <v>1799</v>
      </c>
      <c r="J1228" t="s">
        <v>1799</v>
      </c>
      <c r="K1228" t="s">
        <v>1799</v>
      </c>
      <c r="L1228" t="s">
        <v>1799</v>
      </c>
      <c r="M1228" t="s">
        <v>1799</v>
      </c>
      <c r="N1228" t="s">
        <v>1799</v>
      </c>
      <c r="O1228" s="184" t="str">
        <f>"["&amp;$C1228&amp;"]["&amp;$D1228&amp;"]["&amp;$F1228&amp;"]"</f>
        <v>[S05_CategoryCHighestTierNotApplied][38][InstallationID]</v>
      </c>
    </row>
    <row r="1229" spans="1:15" x14ac:dyDescent="0.3">
      <c r="A1229" t="s">
        <v>1793</v>
      </c>
      <c r="B1229" t="s">
        <v>2088</v>
      </c>
      <c r="C1229" t="s">
        <v>2089</v>
      </c>
      <c r="D1229">
        <v>39</v>
      </c>
      <c r="E1229" t="s">
        <v>1447</v>
      </c>
      <c r="F1229" t="s">
        <v>2090</v>
      </c>
      <c r="G1229" t="s">
        <v>1797</v>
      </c>
      <c r="H1229" t="s">
        <v>2095</v>
      </c>
      <c r="I1229" t="s">
        <v>1799</v>
      </c>
      <c r="J1229" t="s">
        <v>1799</v>
      </c>
      <c r="K1229" t="s">
        <v>1799</v>
      </c>
      <c r="L1229" t="s">
        <v>1799</v>
      </c>
      <c r="M1229" t="s">
        <v>1799</v>
      </c>
      <c r="N1229" t="s">
        <v>1799</v>
      </c>
      <c r="O1229" s="184" t="str">
        <f>"["&amp;$C1229&amp;"]["&amp;$D1229&amp;"]["&amp;$F1229&amp;"]"</f>
        <v>[S05_CategoryCHighestTierNotApplied][39][InstallationID]</v>
      </c>
    </row>
    <row r="1230" spans="1:15" x14ac:dyDescent="0.3">
      <c r="A1230" t="s">
        <v>1793</v>
      </c>
      <c r="B1230" t="s">
        <v>2088</v>
      </c>
      <c r="C1230" t="s">
        <v>2089</v>
      </c>
      <c r="D1230">
        <v>40</v>
      </c>
      <c r="E1230" t="s">
        <v>1447</v>
      </c>
      <c r="F1230" t="s">
        <v>2090</v>
      </c>
      <c r="G1230" t="s">
        <v>1797</v>
      </c>
      <c r="H1230" t="s">
        <v>2096</v>
      </c>
      <c r="I1230" t="s">
        <v>1799</v>
      </c>
      <c r="J1230" t="s">
        <v>1799</v>
      </c>
      <c r="K1230" t="s">
        <v>1799</v>
      </c>
      <c r="L1230" t="s">
        <v>1799</v>
      </c>
      <c r="M1230" t="s">
        <v>1799</v>
      </c>
      <c r="N1230" t="s">
        <v>1799</v>
      </c>
      <c r="O1230" s="184" t="str">
        <f>"["&amp;$C1230&amp;"]["&amp;$D1230&amp;"]["&amp;$F1230&amp;"]"</f>
        <v>[S05_CategoryCHighestTierNotApplied][40][InstallationID]</v>
      </c>
    </row>
    <row r="1231" spans="1:15" x14ac:dyDescent="0.3">
      <c r="A1231" t="s">
        <v>1793</v>
      </c>
      <c r="B1231" t="s">
        <v>2088</v>
      </c>
      <c r="C1231" t="s">
        <v>2089</v>
      </c>
      <c r="D1231">
        <v>41</v>
      </c>
      <c r="E1231" t="s">
        <v>1447</v>
      </c>
      <c r="F1231" t="s">
        <v>2090</v>
      </c>
      <c r="G1231" t="s">
        <v>1797</v>
      </c>
      <c r="H1231" t="s">
        <v>2097</v>
      </c>
      <c r="I1231" t="s">
        <v>1799</v>
      </c>
      <c r="J1231" t="s">
        <v>1799</v>
      </c>
      <c r="K1231" t="s">
        <v>1799</v>
      </c>
      <c r="L1231" t="s">
        <v>1799</v>
      </c>
      <c r="M1231" t="s">
        <v>1799</v>
      </c>
      <c r="N1231" t="s">
        <v>1799</v>
      </c>
      <c r="O1231" s="184" t="str">
        <f>"["&amp;$C1231&amp;"]["&amp;$D1231&amp;"]["&amp;$F1231&amp;"]"</f>
        <v>[S05_CategoryCHighestTierNotApplied][41][InstallationID]</v>
      </c>
    </row>
    <row r="1232" spans="1:15" x14ac:dyDescent="0.3">
      <c r="A1232" t="s">
        <v>1793</v>
      </c>
      <c r="B1232" t="s">
        <v>2088</v>
      </c>
      <c r="C1232" t="s">
        <v>2089</v>
      </c>
      <c r="D1232">
        <v>1</v>
      </c>
      <c r="E1232" t="s">
        <v>1447</v>
      </c>
      <c r="F1232" t="s">
        <v>2107</v>
      </c>
      <c r="G1232" t="s">
        <v>1797</v>
      </c>
      <c r="H1232" t="s">
        <v>2108</v>
      </c>
      <c r="I1232" t="s">
        <v>1799</v>
      </c>
      <c r="J1232" t="s">
        <v>1799</v>
      </c>
      <c r="K1232" t="s">
        <v>1799</v>
      </c>
      <c r="L1232" t="s">
        <v>1799</v>
      </c>
      <c r="M1232" t="s">
        <v>1799</v>
      </c>
      <c r="N1232" t="s">
        <v>1799</v>
      </c>
      <c r="O1232" s="184" t="str">
        <f>"["&amp;$C1232&amp;"]["&amp;$D1232&amp;"]["&amp;$F1232&amp;"]"</f>
        <v>[S05_CategoryCHighestTierNotApplied][1][SourceStreamAffected]</v>
      </c>
    </row>
    <row r="1233" spans="1:15" x14ac:dyDescent="0.3">
      <c r="A1233" t="s">
        <v>1793</v>
      </c>
      <c r="B1233" t="s">
        <v>2088</v>
      </c>
      <c r="C1233" t="s">
        <v>2089</v>
      </c>
      <c r="D1233">
        <v>2</v>
      </c>
      <c r="E1233" t="s">
        <v>1447</v>
      </c>
      <c r="F1233" t="s">
        <v>2107</v>
      </c>
      <c r="G1233" t="s">
        <v>1797</v>
      </c>
      <c r="H1233" t="s">
        <v>2109</v>
      </c>
      <c r="I1233" t="s">
        <v>1799</v>
      </c>
      <c r="J1233" t="s">
        <v>1799</v>
      </c>
      <c r="K1233" t="s">
        <v>1799</v>
      </c>
      <c r="L1233" t="s">
        <v>1799</v>
      </c>
      <c r="M1233" t="s">
        <v>1799</v>
      </c>
      <c r="N1233" t="s">
        <v>1799</v>
      </c>
      <c r="O1233" s="184" t="str">
        <f>"["&amp;$C1233&amp;"]["&amp;$D1233&amp;"]["&amp;$F1233&amp;"]"</f>
        <v>[S05_CategoryCHighestTierNotApplied][2][SourceStreamAffected]</v>
      </c>
    </row>
    <row r="1234" spans="1:15" x14ac:dyDescent="0.3">
      <c r="A1234" t="s">
        <v>1793</v>
      </c>
      <c r="B1234" t="s">
        <v>2088</v>
      </c>
      <c r="C1234" t="s">
        <v>2089</v>
      </c>
      <c r="D1234">
        <v>3</v>
      </c>
      <c r="E1234" t="s">
        <v>1447</v>
      </c>
      <c r="F1234" t="s">
        <v>2107</v>
      </c>
      <c r="G1234" t="s">
        <v>1797</v>
      </c>
      <c r="H1234" t="s">
        <v>2110</v>
      </c>
      <c r="I1234" t="s">
        <v>1799</v>
      </c>
      <c r="J1234" t="s">
        <v>1799</v>
      </c>
      <c r="K1234" t="s">
        <v>1799</v>
      </c>
      <c r="L1234" t="s">
        <v>1799</v>
      </c>
      <c r="M1234" t="s">
        <v>1799</v>
      </c>
      <c r="N1234" t="s">
        <v>1799</v>
      </c>
      <c r="O1234" s="184" t="str">
        <f>"["&amp;$C1234&amp;"]["&amp;$D1234&amp;"]["&amp;$F1234&amp;"]"</f>
        <v>[S05_CategoryCHighestTierNotApplied][3][SourceStreamAffected]</v>
      </c>
    </row>
    <row r="1235" spans="1:15" x14ac:dyDescent="0.3">
      <c r="A1235" t="s">
        <v>1793</v>
      </c>
      <c r="B1235" t="s">
        <v>2088</v>
      </c>
      <c r="C1235" t="s">
        <v>2089</v>
      </c>
      <c r="D1235">
        <v>4</v>
      </c>
      <c r="E1235" t="s">
        <v>1447</v>
      </c>
      <c r="F1235" t="s">
        <v>2107</v>
      </c>
      <c r="G1235" t="s">
        <v>1797</v>
      </c>
      <c r="H1235" t="s">
        <v>2111</v>
      </c>
      <c r="I1235" t="s">
        <v>1799</v>
      </c>
      <c r="J1235" t="s">
        <v>1799</v>
      </c>
      <c r="K1235" t="s">
        <v>1799</v>
      </c>
      <c r="L1235" t="s">
        <v>1799</v>
      </c>
      <c r="M1235" t="s">
        <v>1799</v>
      </c>
      <c r="N1235" t="s">
        <v>1799</v>
      </c>
      <c r="O1235" s="184" t="str">
        <f>"["&amp;$C1235&amp;"]["&amp;$D1235&amp;"]["&amp;$F1235&amp;"]"</f>
        <v>[S05_CategoryCHighestTierNotApplied][4][SourceStreamAffected]</v>
      </c>
    </row>
    <row r="1236" spans="1:15" x14ac:dyDescent="0.3">
      <c r="A1236" t="s">
        <v>1793</v>
      </c>
      <c r="B1236" t="s">
        <v>2088</v>
      </c>
      <c r="C1236" t="s">
        <v>2089</v>
      </c>
      <c r="D1236">
        <v>5</v>
      </c>
      <c r="E1236" t="s">
        <v>1447</v>
      </c>
      <c r="F1236" t="s">
        <v>2107</v>
      </c>
      <c r="G1236" t="s">
        <v>1797</v>
      </c>
      <c r="H1236" t="s">
        <v>2112</v>
      </c>
      <c r="I1236" t="s">
        <v>1799</v>
      </c>
      <c r="J1236" t="s">
        <v>1799</v>
      </c>
      <c r="K1236" t="s">
        <v>1799</v>
      </c>
      <c r="L1236" t="s">
        <v>1799</v>
      </c>
      <c r="M1236" t="s">
        <v>1799</v>
      </c>
      <c r="N1236" t="s">
        <v>1799</v>
      </c>
      <c r="O1236" s="184" t="str">
        <f>"["&amp;$C1236&amp;"]["&amp;$D1236&amp;"]["&amp;$F1236&amp;"]"</f>
        <v>[S05_CategoryCHighestTierNotApplied][5][SourceStreamAffected]</v>
      </c>
    </row>
    <row r="1237" spans="1:15" x14ac:dyDescent="0.3">
      <c r="A1237" t="s">
        <v>1793</v>
      </c>
      <c r="B1237" t="s">
        <v>2088</v>
      </c>
      <c r="C1237" t="s">
        <v>2089</v>
      </c>
      <c r="D1237">
        <v>6</v>
      </c>
      <c r="E1237" t="s">
        <v>1447</v>
      </c>
      <c r="F1237" t="s">
        <v>2107</v>
      </c>
      <c r="G1237" t="s">
        <v>1797</v>
      </c>
      <c r="H1237" t="s">
        <v>2112</v>
      </c>
      <c r="I1237" t="s">
        <v>1799</v>
      </c>
      <c r="J1237" t="s">
        <v>1799</v>
      </c>
      <c r="K1237" t="s">
        <v>1799</v>
      </c>
      <c r="L1237" t="s">
        <v>1799</v>
      </c>
      <c r="M1237" t="s">
        <v>1799</v>
      </c>
      <c r="N1237" t="s">
        <v>1799</v>
      </c>
      <c r="O1237" s="184" t="str">
        <f>"["&amp;$C1237&amp;"]["&amp;$D1237&amp;"]["&amp;$F1237&amp;"]"</f>
        <v>[S05_CategoryCHighestTierNotApplied][6][SourceStreamAffected]</v>
      </c>
    </row>
    <row r="1238" spans="1:15" x14ac:dyDescent="0.3">
      <c r="A1238" t="s">
        <v>1793</v>
      </c>
      <c r="B1238" t="s">
        <v>2088</v>
      </c>
      <c r="C1238" t="s">
        <v>2089</v>
      </c>
      <c r="D1238">
        <v>7</v>
      </c>
      <c r="E1238" t="s">
        <v>1447</v>
      </c>
      <c r="F1238" t="s">
        <v>2107</v>
      </c>
      <c r="G1238" t="s">
        <v>1797</v>
      </c>
      <c r="H1238" t="s">
        <v>2113</v>
      </c>
      <c r="I1238" t="s">
        <v>1799</v>
      </c>
      <c r="J1238" t="s">
        <v>1799</v>
      </c>
      <c r="K1238" t="s">
        <v>1799</v>
      </c>
      <c r="L1238" t="s">
        <v>1799</v>
      </c>
      <c r="M1238" t="s">
        <v>1799</v>
      </c>
      <c r="N1238" t="s">
        <v>1799</v>
      </c>
      <c r="O1238" s="184" t="str">
        <f>"["&amp;$C1238&amp;"]["&amp;$D1238&amp;"]["&amp;$F1238&amp;"]"</f>
        <v>[S05_CategoryCHighestTierNotApplied][7][SourceStreamAffected]</v>
      </c>
    </row>
    <row r="1239" spans="1:15" x14ac:dyDescent="0.3">
      <c r="A1239" t="s">
        <v>1793</v>
      </c>
      <c r="B1239" t="s">
        <v>2088</v>
      </c>
      <c r="C1239" t="s">
        <v>2089</v>
      </c>
      <c r="D1239">
        <v>8</v>
      </c>
      <c r="E1239" t="s">
        <v>1447</v>
      </c>
      <c r="F1239" t="s">
        <v>2107</v>
      </c>
      <c r="G1239" t="s">
        <v>1797</v>
      </c>
      <c r="H1239" t="s">
        <v>2114</v>
      </c>
      <c r="I1239" t="s">
        <v>1799</v>
      </c>
      <c r="J1239" t="s">
        <v>1799</v>
      </c>
      <c r="K1239" t="s">
        <v>1799</v>
      </c>
      <c r="L1239" t="s">
        <v>1799</v>
      </c>
      <c r="M1239" t="s">
        <v>1799</v>
      </c>
      <c r="N1239" t="s">
        <v>1799</v>
      </c>
      <c r="O1239" s="184" t="str">
        <f>"["&amp;$C1239&amp;"]["&amp;$D1239&amp;"]["&amp;$F1239&amp;"]"</f>
        <v>[S05_CategoryCHighestTierNotApplied][8][SourceStreamAffected]</v>
      </c>
    </row>
    <row r="1240" spans="1:15" x14ac:dyDescent="0.3">
      <c r="A1240" t="s">
        <v>1793</v>
      </c>
      <c r="B1240" t="s">
        <v>2088</v>
      </c>
      <c r="C1240" t="s">
        <v>2089</v>
      </c>
      <c r="D1240">
        <v>9</v>
      </c>
      <c r="E1240" t="s">
        <v>1447</v>
      </c>
      <c r="F1240" t="s">
        <v>2107</v>
      </c>
      <c r="G1240" t="s">
        <v>1797</v>
      </c>
      <c r="H1240" t="s">
        <v>2115</v>
      </c>
      <c r="I1240" t="s">
        <v>1799</v>
      </c>
      <c r="J1240" t="s">
        <v>1799</v>
      </c>
      <c r="K1240" t="s">
        <v>1799</v>
      </c>
      <c r="L1240" t="s">
        <v>1799</v>
      </c>
      <c r="M1240" t="s">
        <v>1799</v>
      </c>
      <c r="N1240" t="s">
        <v>1799</v>
      </c>
      <c r="O1240" s="184" t="str">
        <f>"["&amp;$C1240&amp;"]["&amp;$D1240&amp;"]["&amp;$F1240&amp;"]"</f>
        <v>[S05_CategoryCHighestTierNotApplied][9][SourceStreamAffected]</v>
      </c>
    </row>
    <row r="1241" spans="1:15" x14ac:dyDescent="0.3">
      <c r="A1241" t="s">
        <v>1793</v>
      </c>
      <c r="B1241" t="s">
        <v>2088</v>
      </c>
      <c r="C1241" t="s">
        <v>2089</v>
      </c>
      <c r="D1241">
        <v>10</v>
      </c>
      <c r="E1241" t="s">
        <v>1447</v>
      </c>
      <c r="F1241" t="s">
        <v>2107</v>
      </c>
      <c r="G1241" t="s">
        <v>1797</v>
      </c>
      <c r="H1241" t="s">
        <v>2116</v>
      </c>
      <c r="I1241" t="s">
        <v>1799</v>
      </c>
      <c r="J1241" t="s">
        <v>1799</v>
      </c>
      <c r="K1241" t="s">
        <v>1799</v>
      </c>
      <c r="L1241" t="s">
        <v>1799</v>
      </c>
      <c r="M1241" t="s">
        <v>1799</v>
      </c>
      <c r="N1241" t="s">
        <v>1799</v>
      </c>
      <c r="O1241" s="184" t="str">
        <f>"["&amp;$C1241&amp;"]["&amp;$D1241&amp;"]["&amp;$F1241&amp;"]"</f>
        <v>[S05_CategoryCHighestTierNotApplied][10][SourceStreamAffected]</v>
      </c>
    </row>
    <row r="1242" spans="1:15" x14ac:dyDescent="0.3">
      <c r="A1242" t="s">
        <v>1793</v>
      </c>
      <c r="B1242" t="s">
        <v>2088</v>
      </c>
      <c r="C1242" t="s">
        <v>2089</v>
      </c>
      <c r="D1242">
        <v>11</v>
      </c>
      <c r="E1242" t="s">
        <v>1447</v>
      </c>
      <c r="F1242" t="s">
        <v>2107</v>
      </c>
      <c r="G1242" t="s">
        <v>1797</v>
      </c>
      <c r="H1242" t="s">
        <v>2117</v>
      </c>
      <c r="I1242" t="s">
        <v>1799</v>
      </c>
      <c r="J1242" t="s">
        <v>1799</v>
      </c>
      <c r="K1242" t="s">
        <v>1799</v>
      </c>
      <c r="L1242" t="s">
        <v>1799</v>
      </c>
      <c r="M1242" t="s">
        <v>1799</v>
      </c>
      <c r="N1242" t="s">
        <v>1799</v>
      </c>
      <c r="O1242" s="184" t="str">
        <f>"["&amp;$C1242&amp;"]["&amp;$D1242&amp;"]["&amp;$F1242&amp;"]"</f>
        <v>[S05_CategoryCHighestTierNotApplied][11][SourceStreamAffected]</v>
      </c>
    </row>
    <row r="1243" spans="1:15" x14ac:dyDescent="0.3">
      <c r="A1243" t="s">
        <v>1793</v>
      </c>
      <c r="B1243" t="s">
        <v>2088</v>
      </c>
      <c r="C1243" t="s">
        <v>2089</v>
      </c>
      <c r="D1243">
        <v>12</v>
      </c>
      <c r="E1243" t="s">
        <v>1447</v>
      </c>
      <c r="F1243" t="s">
        <v>2107</v>
      </c>
      <c r="G1243" t="s">
        <v>1797</v>
      </c>
      <c r="H1243" t="s">
        <v>2118</v>
      </c>
      <c r="I1243" t="s">
        <v>1799</v>
      </c>
      <c r="J1243" t="s">
        <v>1799</v>
      </c>
      <c r="K1243" t="s">
        <v>1799</v>
      </c>
      <c r="L1243" t="s">
        <v>1799</v>
      </c>
      <c r="M1243" t="s">
        <v>1799</v>
      </c>
      <c r="N1243" t="s">
        <v>1799</v>
      </c>
      <c r="O1243" s="184" t="str">
        <f>"["&amp;$C1243&amp;"]["&amp;$D1243&amp;"]["&amp;$F1243&amp;"]"</f>
        <v>[S05_CategoryCHighestTierNotApplied][12][SourceStreamAffected]</v>
      </c>
    </row>
    <row r="1244" spans="1:15" x14ac:dyDescent="0.3">
      <c r="A1244" t="s">
        <v>1793</v>
      </c>
      <c r="B1244" t="s">
        <v>2088</v>
      </c>
      <c r="C1244" t="s">
        <v>2089</v>
      </c>
      <c r="D1244">
        <v>13</v>
      </c>
      <c r="E1244" t="s">
        <v>1447</v>
      </c>
      <c r="F1244" t="s">
        <v>2107</v>
      </c>
      <c r="G1244" t="s">
        <v>1797</v>
      </c>
      <c r="H1244" t="s">
        <v>2119</v>
      </c>
      <c r="I1244" t="s">
        <v>1799</v>
      </c>
      <c r="J1244" t="s">
        <v>1799</v>
      </c>
      <c r="K1244" t="s">
        <v>1799</v>
      </c>
      <c r="L1244" t="s">
        <v>1799</v>
      </c>
      <c r="M1244" t="s">
        <v>1799</v>
      </c>
      <c r="N1244" t="s">
        <v>1799</v>
      </c>
      <c r="O1244" s="184" t="str">
        <f>"["&amp;$C1244&amp;"]["&amp;$D1244&amp;"]["&amp;$F1244&amp;"]"</f>
        <v>[S05_CategoryCHighestTierNotApplied][13][SourceStreamAffected]</v>
      </c>
    </row>
    <row r="1245" spans="1:15" x14ac:dyDescent="0.3">
      <c r="A1245" t="s">
        <v>1793</v>
      </c>
      <c r="B1245" t="s">
        <v>2088</v>
      </c>
      <c r="C1245" t="s">
        <v>2089</v>
      </c>
      <c r="D1245">
        <v>14</v>
      </c>
      <c r="E1245" t="s">
        <v>1447</v>
      </c>
      <c r="F1245" t="s">
        <v>2107</v>
      </c>
      <c r="G1245" t="s">
        <v>1797</v>
      </c>
      <c r="H1245" t="s">
        <v>2120</v>
      </c>
      <c r="I1245" t="s">
        <v>1799</v>
      </c>
      <c r="J1245" t="s">
        <v>1799</v>
      </c>
      <c r="K1245" t="s">
        <v>1799</v>
      </c>
      <c r="L1245" t="s">
        <v>1799</v>
      </c>
      <c r="M1245" t="s">
        <v>1799</v>
      </c>
      <c r="N1245" t="s">
        <v>1799</v>
      </c>
      <c r="O1245" s="184" t="str">
        <f>"["&amp;$C1245&amp;"]["&amp;$D1245&amp;"]["&amp;$F1245&amp;"]"</f>
        <v>[S05_CategoryCHighestTierNotApplied][14][SourceStreamAffected]</v>
      </c>
    </row>
    <row r="1246" spans="1:15" x14ac:dyDescent="0.3">
      <c r="A1246" t="s">
        <v>1793</v>
      </c>
      <c r="B1246" t="s">
        <v>2088</v>
      </c>
      <c r="C1246" t="s">
        <v>2089</v>
      </c>
      <c r="D1246">
        <v>15</v>
      </c>
      <c r="E1246" t="s">
        <v>1447</v>
      </c>
      <c r="F1246" t="s">
        <v>2107</v>
      </c>
      <c r="G1246" t="s">
        <v>1797</v>
      </c>
      <c r="H1246" t="s">
        <v>2121</v>
      </c>
      <c r="I1246" t="s">
        <v>1799</v>
      </c>
      <c r="J1246" t="s">
        <v>1799</v>
      </c>
      <c r="K1246" t="s">
        <v>1799</v>
      </c>
      <c r="L1246" t="s">
        <v>1799</v>
      </c>
      <c r="M1246" t="s">
        <v>1799</v>
      </c>
      <c r="N1246" t="s">
        <v>1799</v>
      </c>
      <c r="O1246" s="184" t="str">
        <f>"["&amp;$C1246&amp;"]["&amp;$D1246&amp;"]["&amp;$F1246&amp;"]"</f>
        <v>[S05_CategoryCHighestTierNotApplied][15][SourceStreamAffected]</v>
      </c>
    </row>
    <row r="1247" spans="1:15" x14ac:dyDescent="0.3">
      <c r="A1247" t="s">
        <v>1793</v>
      </c>
      <c r="B1247" t="s">
        <v>2088</v>
      </c>
      <c r="C1247" t="s">
        <v>2089</v>
      </c>
      <c r="D1247">
        <v>16</v>
      </c>
      <c r="E1247" t="s">
        <v>1447</v>
      </c>
      <c r="F1247" t="s">
        <v>2107</v>
      </c>
      <c r="G1247" t="s">
        <v>1797</v>
      </c>
      <c r="H1247" t="s">
        <v>2122</v>
      </c>
      <c r="I1247" t="s">
        <v>1799</v>
      </c>
      <c r="J1247" t="s">
        <v>1799</v>
      </c>
      <c r="K1247" t="s">
        <v>1799</v>
      </c>
      <c r="L1247" t="s">
        <v>1799</v>
      </c>
      <c r="M1247" t="s">
        <v>1799</v>
      </c>
      <c r="N1247" t="s">
        <v>1799</v>
      </c>
      <c r="O1247" s="184" t="str">
        <f>"["&amp;$C1247&amp;"]["&amp;$D1247&amp;"]["&amp;$F1247&amp;"]"</f>
        <v>[S05_CategoryCHighestTierNotApplied][16][SourceStreamAffected]</v>
      </c>
    </row>
    <row r="1248" spans="1:15" x14ac:dyDescent="0.3">
      <c r="A1248" t="s">
        <v>1793</v>
      </c>
      <c r="B1248" t="s">
        <v>2088</v>
      </c>
      <c r="C1248" t="s">
        <v>2089</v>
      </c>
      <c r="D1248">
        <v>17</v>
      </c>
      <c r="E1248" t="s">
        <v>1447</v>
      </c>
      <c r="F1248" t="s">
        <v>2107</v>
      </c>
      <c r="G1248" t="s">
        <v>1797</v>
      </c>
      <c r="H1248" t="s">
        <v>2123</v>
      </c>
      <c r="I1248" t="s">
        <v>1799</v>
      </c>
      <c r="J1248" t="s">
        <v>1799</v>
      </c>
      <c r="K1248" t="s">
        <v>1799</v>
      </c>
      <c r="L1248" t="s">
        <v>1799</v>
      </c>
      <c r="M1248" t="s">
        <v>1799</v>
      </c>
      <c r="N1248" t="s">
        <v>1799</v>
      </c>
      <c r="O1248" s="184" t="str">
        <f>"["&amp;$C1248&amp;"]["&amp;$D1248&amp;"]["&amp;$F1248&amp;"]"</f>
        <v>[S05_CategoryCHighestTierNotApplied][17][SourceStreamAffected]</v>
      </c>
    </row>
    <row r="1249" spans="1:15" x14ac:dyDescent="0.3">
      <c r="A1249" t="s">
        <v>1793</v>
      </c>
      <c r="B1249" t="s">
        <v>2088</v>
      </c>
      <c r="C1249" t="s">
        <v>2089</v>
      </c>
      <c r="D1249">
        <v>18</v>
      </c>
      <c r="E1249" t="s">
        <v>1447</v>
      </c>
      <c r="F1249" t="s">
        <v>2107</v>
      </c>
      <c r="G1249" t="s">
        <v>1797</v>
      </c>
      <c r="H1249" t="s">
        <v>2124</v>
      </c>
      <c r="I1249" t="s">
        <v>1799</v>
      </c>
      <c r="J1249" t="s">
        <v>1799</v>
      </c>
      <c r="K1249" t="s">
        <v>1799</v>
      </c>
      <c r="L1249" t="s">
        <v>1799</v>
      </c>
      <c r="M1249" t="s">
        <v>1799</v>
      </c>
      <c r="N1249" t="s">
        <v>1799</v>
      </c>
      <c r="O1249" s="184" t="str">
        <f>"["&amp;$C1249&amp;"]["&amp;$D1249&amp;"]["&amp;$F1249&amp;"]"</f>
        <v>[S05_CategoryCHighestTierNotApplied][18][SourceStreamAffected]</v>
      </c>
    </row>
    <row r="1250" spans="1:15" x14ac:dyDescent="0.3">
      <c r="A1250" t="s">
        <v>1793</v>
      </c>
      <c r="B1250" t="s">
        <v>2088</v>
      </c>
      <c r="C1250" t="s">
        <v>2089</v>
      </c>
      <c r="D1250">
        <v>19</v>
      </c>
      <c r="E1250" t="s">
        <v>1447</v>
      </c>
      <c r="F1250" t="s">
        <v>2107</v>
      </c>
      <c r="G1250" t="s">
        <v>1797</v>
      </c>
      <c r="H1250" t="s">
        <v>2125</v>
      </c>
      <c r="I1250" t="s">
        <v>1799</v>
      </c>
      <c r="J1250" t="s">
        <v>1799</v>
      </c>
      <c r="K1250" t="s">
        <v>1799</v>
      </c>
      <c r="L1250" t="s">
        <v>1799</v>
      </c>
      <c r="M1250" t="s">
        <v>1799</v>
      </c>
      <c r="N1250" t="s">
        <v>1799</v>
      </c>
      <c r="O1250" s="184" t="str">
        <f>"["&amp;$C1250&amp;"]["&amp;$D1250&amp;"]["&amp;$F1250&amp;"]"</f>
        <v>[S05_CategoryCHighestTierNotApplied][19][SourceStreamAffected]</v>
      </c>
    </row>
    <row r="1251" spans="1:15" x14ac:dyDescent="0.3">
      <c r="A1251" t="s">
        <v>1793</v>
      </c>
      <c r="B1251" t="s">
        <v>2088</v>
      </c>
      <c r="C1251" t="s">
        <v>2089</v>
      </c>
      <c r="D1251">
        <v>20</v>
      </c>
      <c r="E1251" t="s">
        <v>1447</v>
      </c>
      <c r="F1251" t="s">
        <v>2107</v>
      </c>
      <c r="G1251" t="s">
        <v>1797</v>
      </c>
      <c r="H1251" t="s">
        <v>2126</v>
      </c>
      <c r="I1251" t="s">
        <v>1799</v>
      </c>
      <c r="J1251" t="s">
        <v>1799</v>
      </c>
      <c r="K1251" t="s">
        <v>1799</v>
      </c>
      <c r="L1251" t="s">
        <v>1799</v>
      </c>
      <c r="M1251" t="s">
        <v>1799</v>
      </c>
      <c r="N1251" t="s">
        <v>1799</v>
      </c>
      <c r="O1251" s="184" t="str">
        <f>"["&amp;$C1251&amp;"]["&amp;$D1251&amp;"]["&amp;$F1251&amp;"]"</f>
        <v>[S05_CategoryCHighestTierNotApplied][20][SourceStreamAffected]</v>
      </c>
    </row>
    <row r="1252" spans="1:15" x14ac:dyDescent="0.3">
      <c r="A1252" t="s">
        <v>1793</v>
      </c>
      <c r="B1252" t="s">
        <v>2088</v>
      </c>
      <c r="C1252" t="s">
        <v>2089</v>
      </c>
      <c r="D1252">
        <v>21</v>
      </c>
      <c r="E1252" t="s">
        <v>1447</v>
      </c>
      <c r="F1252" t="s">
        <v>2107</v>
      </c>
      <c r="G1252" t="s">
        <v>1797</v>
      </c>
      <c r="H1252" t="s">
        <v>2127</v>
      </c>
      <c r="I1252" t="s">
        <v>1799</v>
      </c>
      <c r="J1252" t="s">
        <v>1799</v>
      </c>
      <c r="K1252" t="s">
        <v>1799</v>
      </c>
      <c r="L1252" t="s">
        <v>1799</v>
      </c>
      <c r="M1252" t="s">
        <v>1799</v>
      </c>
      <c r="N1252" t="s">
        <v>1799</v>
      </c>
      <c r="O1252" s="184" t="str">
        <f>"["&amp;$C1252&amp;"]["&amp;$D1252&amp;"]["&amp;$F1252&amp;"]"</f>
        <v>[S05_CategoryCHighestTierNotApplied][21][SourceStreamAffected]</v>
      </c>
    </row>
    <row r="1253" spans="1:15" x14ac:dyDescent="0.3">
      <c r="A1253" t="s">
        <v>1793</v>
      </c>
      <c r="B1253" t="s">
        <v>2088</v>
      </c>
      <c r="C1253" t="s">
        <v>2089</v>
      </c>
      <c r="D1253">
        <v>22</v>
      </c>
      <c r="E1253" t="s">
        <v>1447</v>
      </c>
      <c r="F1253" t="s">
        <v>2107</v>
      </c>
      <c r="G1253" t="s">
        <v>1797</v>
      </c>
      <c r="H1253" t="s">
        <v>2128</v>
      </c>
      <c r="I1253" t="s">
        <v>1799</v>
      </c>
      <c r="J1253" t="s">
        <v>1799</v>
      </c>
      <c r="K1253" t="s">
        <v>1799</v>
      </c>
      <c r="L1253" t="s">
        <v>1799</v>
      </c>
      <c r="M1253" t="s">
        <v>1799</v>
      </c>
      <c r="N1253" t="s">
        <v>1799</v>
      </c>
      <c r="O1253" s="184" t="str">
        <f>"["&amp;$C1253&amp;"]["&amp;$D1253&amp;"]["&amp;$F1253&amp;"]"</f>
        <v>[S05_CategoryCHighestTierNotApplied][22][SourceStreamAffected]</v>
      </c>
    </row>
    <row r="1254" spans="1:15" x14ac:dyDescent="0.3">
      <c r="A1254" t="s">
        <v>1793</v>
      </c>
      <c r="B1254" t="s">
        <v>2088</v>
      </c>
      <c r="C1254" t="s">
        <v>2089</v>
      </c>
      <c r="D1254">
        <v>23</v>
      </c>
      <c r="E1254" t="s">
        <v>1447</v>
      </c>
      <c r="F1254" t="s">
        <v>2107</v>
      </c>
      <c r="G1254" t="s">
        <v>1797</v>
      </c>
      <c r="H1254" t="s">
        <v>2129</v>
      </c>
      <c r="I1254" t="s">
        <v>1799</v>
      </c>
      <c r="J1254" t="s">
        <v>1799</v>
      </c>
      <c r="K1254" t="s">
        <v>1799</v>
      </c>
      <c r="L1254" t="s">
        <v>1799</v>
      </c>
      <c r="M1254" t="s">
        <v>1799</v>
      </c>
      <c r="N1254" t="s">
        <v>1799</v>
      </c>
      <c r="O1254" s="184" t="str">
        <f>"["&amp;$C1254&amp;"]["&amp;$D1254&amp;"]["&amp;$F1254&amp;"]"</f>
        <v>[S05_CategoryCHighestTierNotApplied][23][SourceStreamAffected]</v>
      </c>
    </row>
    <row r="1255" spans="1:15" x14ac:dyDescent="0.3">
      <c r="A1255" t="s">
        <v>1793</v>
      </c>
      <c r="B1255" t="s">
        <v>2088</v>
      </c>
      <c r="C1255" t="s">
        <v>2089</v>
      </c>
      <c r="D1255">
        <v>24</v>
      </c>
      <c r="E1255" t="s">
        <v>1447</v>
      </c>
      <c r="F1255" t="s">
        <v>2107</v>
      </c>
      <c r="G1255" t="s">
        <v>1797</v>
      </c>
      <c r="H1255" t="s">
        <v>2130</v>
      </c>
      <c r="I1255" t="s">
        <v>1799</v>
      </c>
      <c r="J1255" t="s">
        <v>1799</v>
      </c>
      <c r="K1255" t="s">
        <v>1799</v>
      </c>
      <c r="L1255" t="s">
        <v>1799</v>
      </c>
      <c r="M1255" t="s">
        <v>1799</v>
      </c>
      <c r="N1255" t="s">
        <v>1799</v>
      </c>
      <c r="O1255" s="184" t="str">
        <f>"["&amp;$C1255&amp;"]["&amp;$D1255&amp;"]["&amp;$F1255&amp;"]"</f>
        <v>[S05_CategoryCHighestTierNotApplied][24][SourceStreamAffected]</v>
      </c>
    </row>
    <row r="1256" spans="1:15" x14ac:dyDescent="0.3">
      <c r="A1256" t="s">
        <v>1793</v>
      </c>
      <c r="B1256" t="s">
        <v>2088</v>
      </c>
      <c r="C1256" t="s">
        <v>2089</v>
      </c>
      <c r="D1256">
        <v>25</v>
      </c>
      <c r="E1256" t="s">
        <v>1447</v>
      </c>
      <c r="F1256" t="s">
        <v>2107</v>
      </c>
      <c r="G1256" t="s">
        <v>1797</v>
      </c>
      <c r="H1256" t="s">
        <v>2131</v>
      </c>
      <c r="I1256" t="s">
        <v>1799</v>
      </c>
      <c r="J1256" t="s">
        <v>1799</v>
      </c>
      <c r="K1256" t="s">
        <v>1799</v>
      </c>
      <c r="L1256" t="s">
        <v>1799</v>
      </c>
      <c r="M1256" t="s">
        <v>1799</v>
      </c>
      <c r="N1256" t="s">
        <v>1799</v>
      </c>
      <c r="O1256" s="184" t="str">
        <f>"["&amp;$C1256&amp;"]["&amp;$D1256&amp;"]["&amp;$F1256&amp;"]"</f>
        <v>[S05_CategoryCHighestTierNotApplied][25][SourceStreamAffected]</v>
      </c>
    </row>
    <row r="1257" spans="1:15" x14ac:dyDescent="0.3">
      <c r="A1257" t="s">
        <v>1793</v>
      </c>
      <c r="B1257" t="s">
        <v>2088</v>
      </c>
      <c r="C1257" t="s">
        <v>2089</v>
      </c>
      <c r="D1257">
        <v>26</v>
      </c>
      <c r="E1257" t="s">
        <v>1447</v>
      </c>
      <c r="F1257" t="s">
        <v>2107</v>
      </c>
      <c r="G1257" t="s">
        <v>1797</v>
      </c>
      <c r="H1257" t="s">
        <v>2132</v>
      </c>
      <c r="I1257" t="s">
        <v>1799</v>
      </c>
      <c r="J1257" t="s">
        <v>1799</v>
      </c>
      <c r="K1257" t="s">
        <v>1799</v>
      </c>
      <c r="L1257" t="s">
        <v>1799</v>
      </c>
      <c r="M1257" t="s">
        <v>1799</v>
      </c>
      <c r="N1257" t="s">
        <v>1799</v>
      </c>
      <c r="O1257" s="184" t="str">
        <f>"["&amp;$C1257&amp;"]["&amp;$D1257&amp;"]["&amp;$F1257&amp;"]"</f>
        <v>[S05_CategoryCHighestTierNotApplied][26][SourceStreamAffected]</v>
      </c>
    </row>
    <row r="1258" spans="1:15" x14ac:dyDescent="0.3">
      <c r="A1258" t="s">
        <v>1793</v>
      </c>
      <c r="B1258" t="s">
        <v>2088</v>
      </c>
      <c r="C1258" t="s">
        <v>2089</v>
      </c>
      <c r="D1258">
        <v>27</v>
      </c>
      <c r="E1258" t="s">
        <v>1447</v>
      </c>
      <c r="F1258" t="s">
        <v>2107</v>
      </c>
      <c r="G1258" t="s">
        <v>1797</v>
      </c>
      <c r="H1258" t="s">
        <v>2133</v>
      </c>
      <c r="I1258" t="s">
        <v>1799</v>
      </c>
      <c r="J1258" t="s">
        <v>1799</v>
      </c>
      <c r="K1258" t="s">
        <v>1799</v>
      </c>
      <c r="L1258" t="s">
        <v>1799</v>
      </c>
      <c r="M1258" t="s">
        <v>1799</v>
      </c>
      <c r="N1258" t="s">
        <v>1799</v>
      </c>
      <c r="O1258" s="184" t="str">
        <f>"["&amp;$C1258&amp;"]["&amp;$D1258&amp;"]["&amp;$F1258&amp;"]"</f>
        <v>[S05_CategoryCHighestTierNotApplied][27][SourceStreamAffected]</v>
      </c>
    </row>
    <row r="1259" spans="1:15" x14ac:dyDescent="0.3">
      <c r="A1259" t="s">
        <v>1793</v>
      </c>
      <c r="B1259" t="s">
        <v>2088</v>
      </c>
      <c r="C1259" t="s">
        <v>2089</v>
      </c>
      <c r="D1259">
        <v>28</v>
      </c>
      <c r="E1259" t="s">
        <v>1447</v>
      </c>
      <c r="F1259" t="s">
        <v>2107</v>
      </c>
      <c r="G1259" t="s">
        <v>1797</v>
      </c>
      <c r="H1259" t="s">
        <v>2134</v>
      </c>
      <c r="I1259" t="s">
        <v>1799</v>
      </c>
      <c r="J1259" t="s">
        <v>1799</v>
      </c>
      <c r="K1259" t="s">
        <v>1799</v>
      </c>
      <c r="L1259" t="s">
        <v>1799</v>
      </c>
      <c r="M1259" t="s">
        <v>1799</v>
      </c>
      <c r="N1259" t="s">
        <v>1799</v>
      </c>
      <c r="O1259" s="184" t="str">
        <f>"["&amp;$C1259&amp;"]["&amp;$D1259&amp;"]["&amp;$F1259&amp;"]"</f>
        <v>[S05_CategoryCHighestTierNotApplied][28][SourceStreamAffected]</v>
      </c>
    </row>
    <row r="1260" spans="1:15" x14ac:dyDescent="0.3">
      <c r="A1260" t="s">
        <v>1793</v>
      </c>
      <c r="B1260" t="s">
        <v>2088</v>
      </c>
      <c r="C1260" t="s">
        <v>2089</v>
      </c>
      <c r="D1260">
        <v>29</v>
      </c>
      <c r="E1260" t="s">
        <v>1447</v>
      </c>
      <c r="F1260" t="s">
        <v>2107</v>
      </c>
      <c r="G1260" t="s">
        <v>1797</v>
      </c>
      <c r="H1260" t="s">
        <v>2058</v>
      </c>
      <c r="I1260" t="s">
        <v>1799</v>
      </c>
      <c r="J1260" t="s">
        <v>1799</v>
      </c>
      <c r="K1260" t="s">
        <v>1799</v>
      </c>
      <c r="L1260" t="s">
        <v>1799</v>
      </c>
      <c r="M1260" t="s">
        <v>1799</v>
      </c>
      <c r="N1260" t="s">
        <v>1799</v>
      </c>
      <c r="O1260" s="184" t="str">
        <f>"["&amp;$C1260&amp;"]["&amp;$D1260&amp;"]["&amp;$F1260&amp;"]"</f>
        <v>[S05_CategoryCHighestTierNotApplied][29][SourceStreamAffected]</v>
      </c>
    </row>
    <row r="1261" spans="1:15" x14ac:dyDescent="0.3">
      <c r="A1261" t="s">
        <v>1793</v>
      </c>
      <c r="B1261" t="s">
        <v>2088</v>
      </c>
      <c r="C1261" t="s">
        <v>2089</v>
      </c>
      <c r="D1261">
        <v>30</v>
      </c>
      <c r="E1261" t="s">
        <v>1447</v>
      </c>
      <c r="F1261" t="s">
        <v>2107</v>
      </c>
      <c r="G1261" t="s">
        <v>1797</v>
      </c>
      <c r="H1261" t="s">
        <v>2058</v>
      </c>
      <c r="I1261" t="s">
        <v>1799</v>
      </c>
      <c r="J1261" t="s">
        <v>1799</v>
      </c>
      <c r="K1261" t="s">
        <v>1799</v>
      </c>
      <c r="L1261" t="s">
        <v>1799</v>
      </c>
      <c r="M1261" t="s">
        <v>1799</v>
      </c>
      <c r="N1261" t="s">
        <v>1799</v>
      </c>
      <c r="O1261" s="184" t="str">
        <f>"["&amp;$C1261&amp;"]["&amp;$D1261&amp;"]["&amp;$F1261&amp;"]"</f>
        <v>[S05_CategoryCHighestTierNotApplied][30][SourceStreamAffected]</v>
      </c>
    </row>
    <row r="1262" spans="1:15" x14ac:dyDescent="0.3">
      <c r="A1262" t="s">
        <v>1793</v>
      </c>
      <c r="B1262" t="s">
        <v>2088</v>
      </c>
      <c r="C1262" t="s">
        <v>2089</v>
      </c>
      <c r="D1262">
        <v>31</v>
      </c>
      <c r="E1262" t="s">
        <v>1447</v>
      </c>
      <c r="F1262" t="s">
        <v>2107</v>
      </c>
      <c r="G1262" t="s">
        <v>1797</v>
      </c>
      <c r="H1262" t="s">
        <v>2058</v>
      </c>
      <c r="I1262" t="s">
        <v>1799</v>
      </c>
      <c r="J1262" t="s">
        <v>1799</v>
      </c>
      <c r="K1262" t="s">
        <v>1799</v>
      </c>
      <c r="L1262" t="s">
        <v>1799</v>
      </c>
      <c r="M1262" t="s">
        <v>1799</v>
      </c>
      <c r="N1262" t="s">
        <v>1799</v>
      </c>
      <c r="O1262" s="184" t="str">
        <f>"["&amp;$C1262&amp;"]["&amp;$D1262&amp;"]["&amp;$F1262&amp;"]"</f>
        <v>[S05_CategoryCHighestTierNotApplied][31][SourceStreamAffected]</v>
      </c>
    </row>
    <row r="1263" spans="1:15" x14ac:dyDescent="0.3">
      <c r="A1263" t="s">
        <v>1793</v>
      </c>
      <c r="B1263" t="s">
        <v>2088</v>
      </c>
      <c r="C1263" t="s">
        <v>2089</v>
      </c>
      <c r="D1263">
        <v>32</v>
      </c>
      <c r="E1263" t="s">
        <v>1447</v>
      </c>
      <c r="F1263" t="s">
        <v>2107</v>
      </c>
      <c r="G1263" t="s">
        <v>1797</v>
      </c>
      <c r="H1263" t="s">
        <v>2135</v>
      </c>
      <c r="I1263" t="s">
        <v>1799</v>
      </c>
      <c r="J1263" t="s">
        <v>1799</v>
      </c>
      <c r="K1263" t="s">
        <v>1799</v>
      </c>
      <c r="L1263" t="s">
        <v>1799</v>
      </c>
      <c r="M1263" t="s">
        <v>1799</v>
      </c>
      <c r="N1263" t="s">
        <v>1799</v>
      </c>
      <c r="O1263" s="184" t="str">
        <f>"["&amp;$C1263&amp;"]["&amp;$D1263&amp;"]["&amp;$F1263&amp;"]"</f>
        <v>[S05_CategoryCHighestTierNotApplied][32][SourceStreamAffected]</v>
      </c>
    </row>
    <row r="1264" spans="1:15" x14ac:dyDescent="0.3">
      <c r="A1264" t="s">
        <v>1793</v>
      </c>
      <c r="B1264" t="s">
        <v>2088</v>
      </c>
      <c r="C1264" t="s">
        <v>2089</v>
      </c>
      <c r="D1264">
        <v>33</v>
      </c>
      <c r="E1264" t="s">
        <v>1447</v>
      </c>
      <c r="F1264" t="s">
        <v>2107</v>
      </c>
      <c r="G1264" t="s">
        <v>1797</v>
      </c>
      <c r="H1264" t="s">
        <v>2136</v>
      </c>
      <c r="I1264" t="s">
        <v>1799</v>
      </c>
      <c r="J1264" t="s">
        <v>1799</v>
      </c>
      <c r="K1264" t="s">
        <v>1799</v>
      </c>
      <c r="L1264" t="s">
        <v>1799</v>
      </c>
      <c r="M1264" t="s">
        <v>1799</v>
      </c>
      <c r="N1264" t="s">
        <v>1799</v>
      </c>
      <c r="O1264" s="184" t="str">
        <f>"["&amp;$C1264&amp;"]["&amp;$D1264&amp;"]["&amp;$F1264&amp;"]"</f>
        <v>[S05_CategoryCHighestTierNotApplied][33][SourceStreamAffected]</v>
      </c>
    </row>
    <row r="1265" spans="1:15" x14ac:dyDescent="0.3">
      <c r="A1265" t="s">
        <v>1793</v>
      </c>
      <c r="B1265" t="s">
        <v>2088</v>
      </c>
      <c r="C1265" t="s">
        <v>2089</v>
      </c>
      <c r="D1265">
        <v>34</v>
      </c>
      <c r="E1265" t="s">
        <v>1447</v>
      </c>
      <c r="F1265" t="s">
        <v>2107</v>
      </c>
      <c r="G1265" t="s">
        <v>1797</v>
      </c>
      <c r="H1265" t="s">
        <v>2121</v>
      </c>
      <c r="I1265" t="s">
        <v>1799</v>
      </c>
      <c r="J1265" t="s">
        <v>1799</v>
      </c>
      <c r="K1265" t="s">
        <v>1799</v>
      </c>
      <c r="L1265" t="s">
        <v>1799</v>
      </c>
      <c r="M1265" t="s">
        <v>1799</v>
      </c>
      <c r="N1265" t="s">
        <v>1799</v>
      </c>
      <c r="O1265" s="184" t="str">
        <f>"["&amp;$C1265&amp;"]["&amp;$D1265&amp;"]["&amp;$F1265&amp;"]"</f>
        <v>[S05_CategoryCHighestTierNotApplied][34][SourceStreamAffected]</v>
      </c>
    </row>
    <row r="1266" spans="1:15" x14ac:dyDescent="0.3">
      <c r="A1266" t="s">
        <v>1793</v>
      </c>
      <c r="B1266" t="s">
        <v>2088</v>
      </c>
      <c r="C1266" t="s">
        <v>2089</v>
      </c>
      <c r="D1266">
        <v>35</v>
      </c>
      <c r="E1266" t="s">
        <v>1447</v>
      </c>
      <c r="F1266" t="s">
        <v>2107</v>
      </c>
      <c r="G1266" t="s">
        <v>1797</v>
      </c>
      <c r="H1266" t="s">
        <v>2137</v>
      </c>
      <c r="I1266" t="s">
        <v>1799</v>
      </c>
      <c r="J1266" t="s">
        <v>1799</v>
      </c>
      <c r="K1266" t="s">
        <v>1799</v>
      </c>
      <c r="L1266" t="s">
        <v>1799</v>
      </c>
      <c r="M1266" t="s">
        <v>1799</v>
      </c>
      <c r="N1266" t="s">
        <v>1799</v>
      </c>
      <c r="O1266" s="184" t="str">
        <f>"["&amp;$C1266&amp;"]["&amp;$D1266&amp;"]["&amp;$F1266&amp;"]"</f>
        <v>[S05_CategoryCHighestTierNotApplied][35][SourceStreamAffected]</v>
      </c>
    </row>
    <row r="1267" spans="1:15" x14ac:dyDescent="0.3">
      <c r="A1267" t="s">
        <v>1793</v>
      </c>
      <c r="B1267" t="s">
        <v>2088</v>
      </c>
      <c r="C1267" t="s">
        <v>2089</v>
      </c>
      <c r="D1267">
        <v>36</v>
      </c>
      <c r="E1267" t="s">
        <v>1447</v>
      </c>
      <c r="F1267" t="s">
        <v>2107</v>
      </c>
      <c r="G1267" t="s">
        <v>1797</v>
      </c>
      <c r="H1267" t="s">
        <v>2138</v>
      </c>
      <c r="I1267" t="s">
        <v>1799</v>
      </c>
      <c r="J1267" t="s">
        <v>1799</v>
      </c>
      <c r="K1267" t="s">
        <v>1799</v>
      </c>
      <c r="L1267" t="s">
        <v>1799</v>
      </c>
      <c r="M1267" t="s">
        <v>1799</v>
      </c>
      <c r="N1267" t="s">
        <v>1799</v>
      </c>
      <c r="O1267" s="184" t="str">
        <f>"["&amp;$C1267&amp;"]["&amp;$D1267&amp;"]["&amp;$F1267&amp;"]"</f>
        <v>[S05_CategoryCHighestTierNotApplied][36][SourceStreamAffected]</v>
      </c>
    </row>
    <row r="1268" spans="1:15" x14ac:dyDescent="0.3">
      <c r="A1268" t="s">
        <v>1793</v>
      </c>
      <c r="B1268" t="s">
        <v>2088</v>
      </c>
      <c r="C1268" t="s">
        <v>2089</v>
      </c>
      <c r="D1268">
        <v>37</v>
      </c>
      <c r="E1268" t="s">
        <v>1447</v>
      </c>
      <c r="F1268" t="s">
        <v>2139</v>
      </c>
      <c r="G1268" t="s">
        <v>1797</v>
      </c>
      <c r="H1268" t="s">
        <v>2140</v>
      </c>
      <c r="I1268" t="s">
        <v>1799</v>
      </c>
      <c r="J1268" t="s">
        <v>1799</v>
      </c>
      <c r="K1268" t="s">
        <v>1799</v>
      </c>
      <c r="L1268" t="s">
        <v>1799</v>
      </c>
      <c r="M1268" t="s">
        <v>1799</v>
      </c>
      <c r="N1268" t="s">
        <v>1799</v>
      </c>
      <c r="O1268" s="184" t="str">
        <f>"["&amp;$C1268&amp;"]["&amp;$D1268&amp;"]["&amp;$F1268&amp;"]"</f>
        <v>[S05_CategoryCHighestTierNotApplied][37][EmissionSourceAffected]</v>
      </c>
    </row>
    <row r="1269" spans="1:15" x14ac:dyDescent="0.3">
      <c r="A1269" t="s">
        <v>1793</v>
      </c>
      <c r="B1269" t="s">
        <v>2088</v>
      </c>
      <c r="C1269" t="s">
        <v>2089</v>
      </c>
      <c r="D1269">
        <v>38</v>
      </c>
      <c r="E1269" t="s">
        <v>1447</v>
      </c>
      <c r="F1269" t="s">
        <v>2139</v>
      </c>
      <c r="G1269" t="s">
        <v>1797</v>
      </c>
      <c r="H1269" t="s">
        <v>2141</v>
      </c>
      <c r="I1269" t="s">
        <v>1799</v>
      </c>
      <c r="J1269" t="s">
        <v>1799</v>
      </c>
      <c r="K1269" t="s">
        <v>1799</v>
      </c>
      <c r="L1269" t="s">
        <v>1799</v>
      </c>
      <c r="M1269" t="s">
        <v>1799</v>
      </c>
      <c r="N1269" t="s">
        <v>1799</v>
      </c>
      <c r="O1269" s="184" t="str">
        <f>"["&amp;$C1269&amp;"]["&amp;$D1269&amp;"]["&amp;$F1269&amp;"]"</f>
        <v>[S05_CategoryCHighestTierNotApplied][38][EmissionSourceAffected]</v>
      </c>
    </row>
    <row r="1270" spans="1:15" x14ac:dyDescent="0.3">
      <c r="A1270" t="s">
        <v>1793</v>
      </c>
      <c r="B1270" t="s">
        <v>2088</v>
      </c>
      <c r="C1270" t="s">
        <v>2089</v>
      </c>
      <c r="D1270">
        <v>39</v>
      </c>
      <c r="E1270" t="s">
        <v>1447</v>
      </c>
      <c r="F1270" t="s">
        <v>2139</v>
      </c>
      <c r="G1270" t="s">
        <v>1797</v>
      </c>
      <c r="H1270" t="s">
        <v>2142</v>
      </c>
      <c r="I1270" t="s">
        <v>1799</v>
      </c>
      <c r="J1270" t="s">
        <v>1799</v>
      </c>
      <c r="K1270" t="s">
        <v>1799</v>
      </c>
      <c r="L1270" t="s">
        <v>1799</v>
      </c>
      <c r="M1270" t="s">
        <v>1799</v>
      </c>
      <c r="N1270" t="s">
        <v>1799</v>
      </c>
      <c r="O1270" s="184" t="str">
        <f>"["&amp;$C1270&amp;"]["&amp;$D1270&amp;"]["&amp;$F1270&amp;"]"</f>
        <v>[S05_CategoryCHighestTierNotApplied][39][EmissionSourceAffected]</v>
      </c>
    </row>
    <row r="1271" spans="1:15" x14ac:dyDescent="0.3">
      <c r="A1271" t="s">
        <v>1793</v>
      </c>
      <c r="B1271" t="s">
        <v>2088</v>
      </c>
      <c r="C1271" t="s">
        <v>2089</v>
      </c>
      <c r="D1271">
        <v>40</v>
      </c>
      <c r="E1271" t="s">
        <v>1447</v>
      </c>
      <c r="F1271" t="s">
        <v>2139</v>
      </c>
      <c r="G1271" t="s">
        <v>1797</v>
      </c>
      <c r="H1271" t="s">
        <v>2143</v>
      </c>
      <c r="I1271" t="s">
        <v>1799</v>
      </c>
      <c r="J1271" t="s">
        <v>1799</v>
      </c>
      <c r="K1271" t="s">
        <v>1799</v>
      </c>
      <c r="L1271" t="s">
        <v>1799</v>
      </c>
      <c r="M1271" t="s">
        <v>1799</v>
      </c>
      <c r="N1271" t="s">
        <v>1799</v>
      </c>
      <c r="O1271" s="184" t="str">
        <f>"["&amp;$C1271&amp;"]["&amp;$D1271&amp;"]["&amp;$F1271&amp;"]"</f>
        <v>[S05_CategoryCHighestTierNotApplied][40][EmissionSourceAffected]</v>
      </c>
    </row>
    <row r="1272" spans="1:15" x14ac:dyDescent="0.3">
      <c r="A1272" t="s">
        <v>1793</v>
      </c>
      <c r="B1272" t="s">
        <v>2088</v>
      </c>
      <c r="C1272" t="s">
        <v>2089</v>
      </c>
      <c r="D1272">
        <v>41</v>
      </c>
      <c r="E1272" t="s">
        <v>1447</v>
      </c>
      <c r="F1272" t="s">
        <v>2139</v>
      </c>
      <c r="G1272" t="s">
        <v>1797</v>
      </c>
      <c r="H1272" t="s">
        <v>2144</v>
      </c>
      <c r="I1272" t="s">
        <v>1799</v>
      </c>
      <c r="J1272" t="s">
        <v>1799</v>
      </c>
      <c r="K1272" t="s">
        <v>1799</v>
      </c>
      <c r="L1272" t="s">
        <v>1799</v>
      </c>
      <c r="M1272" t="s">
        <v>1799</v>
      </c>
      <c r="N1272" t="s">
        <v>1799</v>
      </c>
      <c r="O1272" s="184" t="str">
        <f>"["&amp;$C1272&amp;"]["&amp;$D1272&amp;"]["&amp;$F1272&amp;"]"</f>
        <v>[S05_CategoryCHighestTierNotApplied][41][EmissionSourceAffected]</v>
      </c>
    </row>
    <row r="1273" spans="1:15" x14ac:dyDescent="0.3">
      <c r="A1273" t="s">
        <v>1793</v>
      </c>
      <c r="B1273" t="s">
        <v>2088</v>
      </c>
      <c r="C1273" t="s">
        <v>2089</v>
      </c>
      <c r="D1273">
        <v>1</v>
      </c>
      <c r="E1273" t="s">
        <v>1447</v>
      </c>
      <c r="F1273" t="s">
        <v>2145</v>
      </c>
      <c r="G1273" t="s">
        <v>1737</v>
      </c>
      <c r="H1273" t="s">
        <v>1799</v>
      </c>
      <c r="I1273" t="s">
        <v>1799</v>
      </c>
      <c r="J1273" t="s">
        <v>1799</v>
      </c>
      <c r="K1273" t="s">
        <v>1799</v>
      </c>
      <c r="L1273" t="s">
        <v>1428</v>
      </c>
      <c r="M1273" t="s">
        <v>1799</v>
      </c>
      <c r="N1273" t="s">
        <v>1799</v>
      </c>
      <c r="O1273" s="184" t="str">
        <f>"["&amp;$C1273&amp;"]["&amp;$D1273&amp;"]["&amp;$F1273&amp;"]"</f>
        <v>[S05_CategoryCHighestTierNotApplied][1][MonitoringParameterAffected]</v>
      </c>
    </row>
    <row r="1274" spans="1:15" x14ac:dyDescent="0.3">
      <c r="A1274" t="s">
        <v>1793</v>
      </c>
      <c r="B1274" t="s">
        <v>2088</v>
      </c>
      <c r="C1274" t="s">
        <v>2089</v>
      </c>
      <c r="D1274">
        <v>2</v>
      </c>
      <c r="E1274" t="s">
        <v>1447</v>
      </c>
      <c r="F1274" t="s">
        <v>2145</v>
      </c>
      <c r="G1274" t="s">
        <v>1737</v>
      </c>
      <c r="H1274" t="s">
        <v>1799</v>
      </c>
      <c r="I1274" t="s">
        <v>1799</v>
      </c>
      <c r="J1274" t="s">
        <v>1799</v>
      </c>
      <c r="K1274" t="s">
        <v>1799</v>
      </c>
      <c r="L1274" t="s">
        <v>1456</v>
      </c>
      <c r="M1274" t="s">
        <v>1799</v>
      </c>
      <c r="N1274" t="s">
        <v>1799</v>
      </c>
      <c r="O1274" s="184" t="str">
        <f>"["&amp;$C1274&amp;"]["&amp;$D1274&amp;"]["&amp;$F1274&amp;"]"</f>
        <v>[S05_CategoryCHighestTierNotApplied][2][MonitoringParameterAffected]</v>
      </c>
    </row>
    <row r="1275" spans="1:15" x14ac:dyDescent="0.3">
      <c r="A1275" t="s">
        <v>1793</v>
      </c>
      <c r="B1275" t="s">
        <v>2088</v>
      </c>
      <c r="C1275" t="s">
        <v>2089</v>
      </c>
      <c r="D1275">
        <v>3</v>
      </c>
      <c r="E1275" t="s">
        <v>1447</v>
      </c>
      <c r="F1275" t="s">
        <v>2145</v>
      </c>
      <c r="G1275" t="s">
        <v>1737</v>
      </c>
      <c r="H1275" t="s">
        <v>1799</v>
      </c>
      <c r="I1275" t="s">
        <v>1799</v>
      </c>
      <c r="J1275" t="s">
        <v>1799</v>
      </c>
      <c r="K1275" t="s">
        <v>1799</v>
      </c>
      <c r="L1275" t="s">
        <v>1428</v>
      </c>
      <c r="M1275" t="s">
        <v>1799</v>
      </c>
      <c r="N1275" t="s">
        <v>1799</v>
      </c>
      <c r="O1275" s="184" t="str">
        <f>"["&amp;$C1275&amp;"]["&amp;$D1275&amp;"]["&amp;$F1275&amp;"]"</f>
        <v>[S05_CategoryCHighestTierNotApplied][3][MonitoringParameterAffected]</v>
      </c>
    </row>
    <row r="1276" spans="1:15" x14ac:dyDescent="0.3">
      <c r="A1276" t="s">
        <v>1793</v>
      </c>
      <c r="B1276" t="s">
        <v>2088</v>
      </c>
      <c r="C1276" t="s">
        <v>2089</v>
      </c>
      <c r="D1276">
        <v>4</v>
      </c>
      <c r="E1276" t="s">
        <v>1447</v>
      </c>
      <c r="F1276" t="s">
        <v>2145</v>
      </c>
      <c r="G1276" t="s">
        <v>1737</v>
      </c>
      <c r="H1276" t="s">
        <v>1799</v>
      </c>
      <c r="I1276" t="s">
        <v>1799</v>
      </c>
      <c r="J1276" t="s">
        <v>1799</v>
      </c>
      <c r="K1276" t="s">
        <v>1799</v>
      </c>
      <c r="L1276" t="s">
        <v>1456</v>
      </c>
      <c r="M1276" t="s">
        <v>1799</v>
      </c>
      <c r="N1276" t="s">
        <v>1799</v>
      </c>
      <c r="O1276" s="184" t="str">
        <f>"["&amp;$C1276&amp;"]["&amp;$D1276&amp;"]["&amp;$F1276&amp;"]"</f>
        <v>[S05_CategoryCHighestTierNotApplied][4][MonitoringParameterAffected]</v>
      </c>
    </row>
    <row r="1277" spans="1:15" x14ac:dyDescent="0.3">
      <c r="A1277" t="s">
        <v>1793</v>
      </c>
      <c r="B1277" t="s">
        <v>2088</v>
      </c>
      <c r="C1277" t="s">
        <v>2089</v>
      </c>
      <c r="D1277">
        <v>5</v>
      </c>
      <c r="E1277" t="s">
        <v>1447</v>
      </c>
      <c r="F1277" t="s">
        <v>2145</v>
      </c>
      <c r="G1277" t="s">
        <v>1737</v>
      </c>
      <c r="H1277" t="s">
        <v>1799</v>
      </c>
      <c r="I1277" t="s">
        <v>1799</v>
      </c>
      <c r="J1277" t="s">
        <v>1799</v>
      </c>
      <c r="K1277" t="s">
        <v>1799</v>
      </c>
      <c r="L1277" t="s">
        <v>1428</v>
      </c>
      <c r="M1277" t="s">
        <v>1799</v>
      </c>
      <c r="N1277" t="s">
        <v>1799</v>
      </c>
      <c r="O1277" s="184" t="str">
        <f>"["&amp;$C1277&amp;"]["&amp;$D1277&amp;"]["&amp;$F1277&amp;"]"</f>
        <v>[S05_CategoryCHighestTierNotApplied][5][MonitoringParameterAffected]</v>
      </c>
    </row>
    <row r="1278" spans="1:15" x14ac:dyDescent="0.3">
      <c r="A1278" t="s">
        <v>1793</v>
      </c>
      <c r="B1278" t="s">
        <v>2088</v>
      </c>
      <c r="C1278" t="s">
        <v>2089</v>
      </c>
      <c r="D1278">
        <v>6</v>
      </c>
      <c r="E1278" t="s">
        <v>1447</v>
      </c>
      <c r="F1278" t="s">
        <v>2145</v>
      </c>
      <c r="G1278" t="s">
        <v>1737</v>
      </c>
      <c r="H1278" t="s">
        <v>1799</v>
      </c>
      <c r="I1278" t="s">
        <v>1799</v>
      </c>
      <c r="J1278" t="s">
        <v>1799</v>
      </c>
      <c r="K1278" t="s">
        <v>1799</v>
      </c>
      <c r="L1278" t="s">
        <v>1506</v>
      </c>
      <c r="M1278" t="s">
        <v>1799</v>
      </c>
      <c r="N1278" t="s">
        <v>1799</v>
      </c>
      <c r="O1278" s="184" t="str">
        <f>"["&amp;$C1278&amp;"]["&amp;$D1278&amp;"]["&amp;$F1278&amp;"]"</f>
        <v>[S05_CategoryCHighestTierNotApplied][6][MonitoringParameterAffected]</v>
      </c>
    </row>
    <row r="1279" spans="1:15" x14ac:dyDescent="0.3">
      <c r="A1279" t="s">
        <v>1793</v>
      </c>
      <c r="B1279" t="s">
        <v>2088</v>
      </c>
      <c r="C1279" t="s">
        <v>2089</v>
      </c>
      <c r="D1279">
        <v>7</v>
      </c>
      <c r="E1279" t="s">
        <v>1447</v>
      </c>
      <c r="F1279" t="s">
        <v>2145</v>
      </c>
      <c r="G1279" t="s">
        <v>1737</v>
      </c>
      <c r="H1279" t="s">
        <v>1799</v>
      </c>
      <c r="I1279" t="s">
        <v>1799</v>
      </c>
      <c r="J1279" t="s">
        <v>1799</v>
      </c>
      <c r="K1279" t="s">
        <v>1799</v>
      </c>
      <c r="L1279" t="s">
        <v>1428</v>
      </c>
      <c r="M1279" t="s">
        <v>1799</v>
      </c>
      <c r="N1279" t="s">
        <v>1799</v>
      </c>
      <c r="O1279" s="184" t="str">
        <f>"["&amp;$C1279&amp;"]["&amp;$D1279&amp;"]["&amp;$F1279&amp;"]"</f>
        <v>[S05_CategoryCHighestTierNotApplied][7][MonitoringParameterAffected]</v>
      </c>
    </row>
    <row r="1280" spans="1:15" x14ac:dyDescent="0.3">
      <c r="A1280" t="s">
        <v>1793</v>
      </c>
      <c r="B1280" t="s">
        <v>2088</v>
      </c>
      <c r="C1280" t="s">
        <v>2089</v>
      </c>
      <c r="D1280">
        <v>8</v>
      </c>
      <c r="E1280" t="s">
        <v>1447</v>
      </c>
      <c r="F1280" t="s">
        <v>2145</v>
      </c>
      <c r="G1280" t="s">
        <v>1737</v>
      </c>
      <c r="H1280" t="s">
        <v>1799</v>
      </c>
      <c r="I1280" t="s">
        <v>1799</v>
      </c>
      <c r="J1280" t="s">
        <v>1799</v>
      </c>
      <c r="K1280" t="s">
        <v>1799</v>
      </c>
      <c r="L1280" t="s">
        <v>1428</v>
      </c>
      <c r="M1280" t="s">
        <v>1799</v>
      </c>
      <c r="N1280" t="s">
        <v>1799</v>
      </c>
      <c r="O1280" s="184" t="str">
        <f>"["&amp;$C1280&amp;"]["&amp;$D1280&amp;"]["&amp;$F1280&amp;"]"</f>
        <v>[S05_CategoryCHighestTierNotApplied][8][MonitoringParameterAffected]</v>
      </c>
    </row>
    <row r="1281" spans="1:15" x14ac:dyDescent="0.3">
      <c r="A1281" t="s">
        <v>1793</v>
      </c>
      <c r="B1281" t="s">
        <v>2088</v>
      </c>
      <c r="C1281" t="s">
        <v>2089</v>
      </c>
      <c r="D1281">
        <v>9</v>
      </c>
      <c r="E1281" t="s">
        <v>1447</v>
      </c>
      <c r="F1281" t="s">
        <v>2145</v>
      </c>
      <c r="G1281" t="s">
        <v>1737</v>
      </c>
      <c r="H1281" t="s">
        <v>1799</v>
      </c>
      <c r="I1281" t="s">
        <v>1799</v>
      </c>
      <c r="J1281" t="s">
        <v>1799</v>
      </c>
      <c r="K1281" t="s">
        <v>1799</v>
      </c>
      <c r="L1281" t="s">
        <v>1428</v>
      </c>
      <c r="M1281" t="s">
        <v>1799</v>
      </c>
      <c r="N1281" t="s">
        <v>1799</v>
      </c>
      <c r="O1281" s="184" t="str">
        <f>"["&amp;$C1281&amp;"]["&amp;$D1281&amp;"]["&amp;$F1281&amp;"]"</f>
        <v>[S05_CategoryCHighestTierNotApplied][9][MonitoringParameterAffected]</v>
      </c>
    </row>
    <row r="1282" spans="1:15" x14ac:dyDescent="0.3">
      <c r="A1282" t="s">
        <v>1793</v>
      </c>
      <c r="B1282" t="s">
        <v>2088</v>
      </c>
      <c r="C1282" t="s">
        <v>2089</v>
      </c>
      <c r="D1282">
        <v>10</v>
      </c>
      <c r="E1282" t="s">
        <v>1447</v>
      </c>
      <c r="F1282" t="s">
        <v>2145</v>
      </c>
      <c r="G1282" t="s">
        <v>1737</v>
      </c>
      <c r="H1282" t="s">
        <v>1799</v>
      </c>
      <c r="I1282" t="s">
        <v>1799</v>
      </c>
      <c r="J1282" t="s">
        <v>1799</v>
      </c>
      <c r="K1282" t="s">
        <v>1799</v>
      </c>
      <c r="L1282" t="s">
        <v>1428</v>
      </c>
      <c r="M1282" t="s">
        <v>1799</v>
      </c>
      <c r="N1282" t="s">
        <v>1799</v>
      </c>
      <c r="O1282" s="184" t="str">
        <f>"["&amp;$C1282&amp;"]["&amp;$D1282&amp;"]["&amp;$F1282&amp;"]"</f>
        <v>[S05_CategoryCHighestTierNotApplied][10][MonitoringParameterAffected]</v>
      </c>
    </row>
    <row r="1283" spans="1:15" x14ac:dyDescent="0.3">
      <c r="A1283" t="s">
        <v>1793</v>
      </c>
      <c r="B1283" t="s">
        <v>2088</v>
      </c>
      <c r="C1283" t="s">
        <v>2089</v>
      </c>
      <c r="D1283">
        <v>11</v>
      </c>
      <c r="E1283" t="s">
        <v>1447</v>
      </c>
      <c r="F1283" t="s">
        <v>2145</v>
      </c>
      <c r="G1283" t="s">
        <v>1737</v>
      </c>
      <c r="H1283" t="s">
        <v>1799</v>
      </c>
      <c r="I1283" t="s">
        <v>1799</v>
      </c>
      <c r="J1283" t="s">
        <v>1799</v>
      </c>
      <c r="K1283" t="s">
        <v>1799</v>
      </c>
      <c r="L1283" t="s">
        <v>1428</v>
      </c>
      <c r="M1283" t="s">
        <v>1799</v>
      </c>
      <c r="N1283" t="s">
        <v>1799</v>
      </c>
      <c r="O1283" s="184" t="str">
        <f>"["&amp;$C1283&amp;"]["&amp;$D1283&amp;"]["&amp;$F1283&amp;"]"</f>
        <v>[S05_CategoryCHighestTierNotApplied][11][MonitoringParameterAffected]</v>
      </c>
    </row>
    <row r="1284" spans="1:15" x14ac:dyDescent="0.3">
      <c r="A1284" t="s">
        <v>1793</v>
      </c>
      <c r="B1284" t="s">
        <v>2088</v>
      </c>
      <c r="C1284" t="s">
        <v>2089</v>
      </c>
      <c r="D1284">
        <v>12</v>
      </c>
      <c r="E1284" t="s">
        <v>1447</v>
      </c>
      <c r="F1284" t="s">
        <v>2145</v>
      </c>
      <c r="G1284" t="s">
        <v>1737</v>
      </c>
      <c r="H1284" t="s">
        <v>1799</v>
      </c>
      <c r="I1284" t="s">
        <v>1799</v>
      </c>
      <c r="J1284" t="s">
        <v>1799</v>
      </c>
      <c r="K1284" t="s">
        <v>1799</v>
      </c>
      <c r="L1284" t="s">
        <v>1428</v>
      </c>
      <c r="M1284" t="s">
        <v>1799</v>
      </c>
      <c r="N1284" t="s">
        <v>1799</v>
      </c>
      <c r="O1284" s="184" t="str">
        <f>"["&amp;$C1284&amp;"]["&amp;$D1284&amp;"]["&amp;$F1284&amp;"]"</f>
        <v>[S05_CategoryCHighestTierNotApplied][12][MonitoringParameterAffected]</v>
      </c>
    </row>
    <row r="1285" spans="1:15" x14ac:dyDescent="0.3">
      <c r="A1285" t="s">
        <v>1793</v>
      </c>
      <c r="B1285" t="s">
        <v>2088</v>
      </c>
      <c r="C1285" t="s">
        <v>2089</v>
      </c>
      <c r="D1285">
        <v>13</v>
      </c>
      <c r="E1285" t="s">
        <v>1447</v>
      </c>
      <c r="F1285" t="s">
        <v>2145</v>
      </c>
      <c r="G1285" t="s">
        <v>1737</v>
      </c>
      <c r="H1285" t="s">
        <v>1799</v>
      </c>
      <c r="I1285" t="s">
        <v>1799</v>
      </c>
      <c r="J1285" t="s">
        <v>1799</v>
      </c>
      <c r="K1285" t="s">
        <v>1799</v>
      </c>
      <c r="L1285" t="s">
        <v>1456</v>
      </c>
      <c r="M1285" t="s">
        <v>1799</v>
      </c>
      <c r="N1285" t="s">
        <v>1799</v>
      </c>
      <c r="O1285" s="184" t="str">
        <f>"["&amp;$C1285&amp;"]["&amp;$D1285&amp;"]["&amp;$F1285&amp;"]"</f>
        <v>[S05_CategoryCHighestTierNotApplied][13][MonitoringParameterAffected]</v>
      </c>
    </row>
    <row r="1286" spans="1:15" x14ac:dyDescent="0.3">
      <c r="A1286" t="s">
        <v>1793</v>
      </c>
      <c r="B1286" t="s">
        <v>2088</v>
      </c>
      <c r="C1286" t="s">
        <v>2089</v>
      </c>
      <c r="D1286">
        <v>14</v>
      </c>
      <c r="E1286" t="s">
        <v>1447</v>
      </c>
      <c r="F1286" t="s">
        <v>2145</v>
      </c>
      <c r="G1286" t="s">
        <v>1737</v>
      </c>
      <c r="H1286" t="s">
        <v>1799</v>
      </c>
      <c r="I1286" t="s">
        <v>1799</v>
      </c>
      <c r="J1286" t="s">
        <v>1799</v>
      </c>
      <c r="K1286" t="s">
        <v>1799</v>
      </c>
      <c r="L1286" t="s">
        <v>1456</v>
      </c>
      <c r="M1286" t="s">
        <v>1799</v>
      </c>
      <c r="N1286" t="s">
        <v>1799</v>
      </c>
      <c r="O1286" s="184" t="str">
        <f>"["&amp;$C1286&amp;"]["&amp;$D1286&amp;"]["&amp;$F1286&amp;"]"</f>
        <v>[S05_CategoryCHighestTierNotApplied][14][MonitoringParameterAffected]</v>
      </c>
    </row>
    <row r="1287" spans="1:15" x14ac:dyDescent="0.3">
      <c r="A1287" t="s">
        <v>1793</v>
      </c>
      <c r="B1287" t="s">
        <v>2088</v>
      </c>
      <c r="C1287" t="s">
        <v>2089</v>
      </c>
      <c r="D1287">
        <v>15</v>
      </c>
      <c r="E1287" t="s">
        <v>1447</v>
      </c>
      <c r="F1287" t="s">
        <v>2145</v>
      </c>
      <c r="G1287" t="s">
        <v>1737</v>
      </c>
      <c r="H1287" t="s">
        <v>1799</v>
      </c>
      <c r="I1287" t="s">
        <v>1799</v>
      </c>
      <c r="J1287" t="s">
        <v>1799</v>
      </c>
      <c r="K1287" t="s">
        <v>1799</v>
      </c>
      <c r="L1287" t="s">
        <v>1428</v>
      </c>
      <c r="M1287" t="s">
        <v>1799</v>
      </c>
      <c r="N1287" t="s">
        <v>1799</v>
      </c>
      <c r="O1287" s="184" t="str">
        <f>"["&amp;$C1287&amp;"]["&amp;$D1287&amp;"]["&amp;$F1287&amp;"]"</f>
        <v>[S05_CategoryCHighestTierNotApplied][15][MonitoringParameterAffected]</v>
      </c>
    </row>
    <row r="1288" spans="1:15" x14ac:dyDescent="0.3">
      <c r="A1288" t="s">
        <v>1793</v>
      </c>
      <c r="B1288" t="s">
        <v>2088</v>
      </c>
      <c r="C1288" t="s">
        <v>2089</v>
      </c>
      <c r="D1288">
        <v>16</v>
      </c>
      <c r="E1288" t="s">
        <v>1447</v>
      </c>
      <c r="F1288" t="s">
        <v>2145</v>
      </c>
      <c r="G1288" t="s">
        <v>1737</v>
      </c>
      <c r="H1288" t="s">
        <v>1799</v>
      </c>
      <c r="I1288" t="s">
        <v>1799</v>
      </c>
      <c r="J1288" t="s">
        <v>1799</v>
      </c>
      <c r="K1288" t="s">
        <v>1799</v>
      </c>
      <c r="L1288" t="s">
        <v>1456</v>
      </c>
      <c r="M1288" t="s">
        <v>1799</v>
      </c>
      <c r="N1288" t="s">
        <v>1799</v>
      </c>
      <c r="O1288" s="184" t="str">
        <f>"["&amp;$C1288&amp;"]["&amp;$D1288&amp;"]["&amp;$F1288&amp;"]"</f>
        <v>[S05_CategoryCHighestTierNotApplied][16][MonitoringParameterAffected]</v>
      </c>
    </row>
    <row r="1289" spans="1:15" x14ac:dyDescent="0.3">
      <c r="A1289" t="s">
        <v>1793</v>
      </c>
      <c r="B1289" t="s">
        <v>2088</v>
      </c>
      <c r="C1289" t="s">
        <v>2089</v>
      </c>
      <c r="D1289">
        <v>17</v>
      </c>
      <c r="E1289" t="s">
        <v>1447</v>
      </c>
      <c r="F1289" t="s">
        <v>2145</v>
      </c>
      <c r="G1289" t="s">
        <v>1737</v>
      </c>
      <c r="H1289" t="s">
        <v>1799</v>
      </c>
      <c r="I1289" t="s">
        <v>1799</v>
      </c>
      <c r="J1289" t="s">
        <v>1799</v>
      </c>
      <c r="K1289" t="s">
        <v>1799</v>
      </c>
      <c r="L1289" t="s">
        <v>1506</v>
      </c>
      <c r="M1289" t="s">
        <v>1799</v>
      </c>
      <c r="N1289" t="s">
        <v>1799</v>
      </c>
      <c r="O1289" s="184" t="str">
        <f>"["&amp;$C1289&amp;"]["&amp;$D1289&amp;"]["&amp;$F1289&amp;"]"</f>
        <v>[S05_CategoryCHighestTierNotApplied][17][MonitoringParameterAffected]</v>
      </c>
    </row>
    <row r="1290" spans="1:15" x14ac:dyDescent="0.3">
      <c r="A1290" t="s">
        <v>1793</v>
      </c>
      <c r="B1290" t="s">
        <v>2088</v>
      </c>
      <c r="C1290" t="s">
        <v>2089</v>
      </c>
      <c r="D1290">
        <v>18</v>
      </c>
      <c r="E1290" t="s">
        <v>1447</v>
      </c>
      <c r="F1290" t="s">
        <v>2145</v>
      </c>
      <c r="G1290" t="s">
        <v>1737</v>
      </c>
      <c r="H1290" t="s">
        <v>1799</v>
      </c>
      <c r="I1290" t="s">
        <v>1799</v>
      </c>
      <c r="J1290" t="s">
        <v>1799</v>
      </c>
      <c r="K1290" t="s">
        <v>1799</v>
      </c>
      <c r="L1290" t="s">
        <v>1456</v>
      </c>
      <c r="M1290" t="s">
        <v>1799</v>
      </c>
      <c r="N1290" t="s">
        <v>1799</v>
      </c>
      <c r="O1290" s="184" t="str">
        <f>"["&amp;$C1290&amp;"]["&amp;$D1290&amp;"]["&amp;$F1290&amp;"]"</f>
        <v>[S05_CategoryCHighestTierNotApplied][18][MonitoringParameterAffected]</v>
      </c>
    </row>
    <row r="1291" spans="1:15" x14ac:dyDescent="0.3">
      <c r="A1291" t="s">
        <v>1793</v>
      </c>
      <c r="B1291" t="s">
        <v>2088</v>
      </c>
      <c r="C1291" t="s">
        <v>2089</v>
      </c>
      <c r="D1291">
        <v>19</v>
      </c>
      <c r="E1291" t="s">
        <v>1447</v>
      </c>
      <c r="F1291" t="s">
        <v>2145</v>
      </c>
      <c r="G1291" t="s">
        <v>1737</v>
      </c>
      <c r="H1291" t="s">
        <v>1799</v>
      </c>
      <c r="I1291" t="s">
        <v>1799</v>
      </c>
      <c r="J1291" t="s">
        <v>1799</v>
      </c>
      <c r="K1291" t="s">
        <v>1799</v>
      </c>
      <c r="L1291" t="s">
        <v>1456</v>
      </c>
      <c r="M1291" t="s">
        <v>1799</v>
      </c>
      <c r="N1291" t="s">
        <v>1799</v>
      </c>
      <c r="O1291" s="184" t="str">
        <f>"["&amp;$C1291&amp;"]["&amp;$D1291&amp;"]["&amp;$F1291&amp;"]"</f>
        <v>[S05_CategoryCHighestTierNotApplied][19][MonitoringParameterAffected]</v>
      </c>
    </row>
    <row r="1292" spans="1:15" x14ac:dyDescent="0.3">
      <c r="A1292" t="s">
        <v>1793</v>
      </c>
      <c r="B1292" t="s">
        <v>2088</v>
      </c>
      <c r="C1292" t="s">
        <v>2089</v>
      </c>
      <c r="D1292">
        <v>20</v>
      </c>
      <c r="E1292" t="s">
        <v>1447</v>
      </c>
      <c r="F1292" t="s">
        <v>2145</v>
      </c>
      <c r="G1292" t="s">
        <v>1737</v>
      </c>
      <c r="H1292" t="s">
        <v>1799</v>
      </c>
      <c r="I1292" t="s">
        <v>1799</v>
      </c>
      <c r="J1292" t="s">
        <v>1799</v>
      </c>
      <c r="K1292" t="s">
        <v>1799</v>
      </c>
      <c r="L1292" t="s">
        <v>1428</v>
      </c>
      <c r="M1292" t="s">
        <v>1799</v>
      </c>
      <c r="N1292" t="s">
        <v>1799</v>
      </c>
      <c r="O1292" s="184" t="str">
        <f>"["&amp;$C1292&amp;"]["&amp;$D1292&amp;"]["&amp;$F1292&amp;"]"</f>
        <v>[S05_CategoryCHighestTierNotApplied][20][MonitoringParameterAffected]</v>
      </c>
    </row>
    <row r="1293" spans="1:15" x14ac:dyDescent="0.3">
      <c r="A1293" t="s">
        <v>1793</v>
      </c>
      <c r="B1293" t="s">
        <v>2088</v>
      </c>
      <c r="C1293" t="s">
        <v>2089</v>
      </c>
      <c r="D1293">
        <v>21</v>
      </c>
      <c r="E1293" t="s">
        <v>1447</v>
      </c>
      <c r="F1293" t="s">
        <v>2145</v>
      </c>
      <c r="G1293" t="s">
        <v>1737</v>
      </c>
      <c r="H1293" t="s">
        <v>1799</v>
      </c>
      <c r="I1293" t="s">
        <v>1799</v>
      </c>
      <c r="J1293" t="s">
        <v>1799</v>
      </c>
      <c r="K1293" t="s">
        <v>1799</v>
      </c>
      <c r="L1293" t="s">
        <v>1506</v>
      </c>
      <c r="M1293" t="s">
        <v>1799</v>
      </c>
      <c r="N1293" t="s">
        <v>1799</v>
      </c>
      <c r="O1293" s="184" t="str">
        <f>"["&amp;$C1293&amp;"]["&amp;$D1293&amp;"]["&amp;$F1293&amp;"]"</f>
        <v>[S05_CategoryCHighestTierNotApplied][21][MonitoringParameterAffected]</v>
      </c>
    </row>
    <row r="1294" spans="1:15" x14ac:dyDescent="0.3">
      <c r="A1294" t="s">
        <v>1793</v>
      </c>
      <c r="B1294" t="s">
        <v>2088</v>
      </c>
      <c r="C1294" t="s">
        <v>2089</v>
      </c>
      <c r="D1294">
        <v>22</v>
      </c>
      <c r="E1294" t="s">
        <v>1447</v>
      </c>
      <c r="F1294" t="s">
        <v>2145</v>
      </c>
      <c r="G1294" t="s">
        <v>1737</v>
      </c>
      <c r="H1294" t="s">
        <v>1799</v>
      </c>
      <c r="I1294" t="s">
        <v>1799</v>
      </c>
      <c r="J1294" t="s">
        <v>1799</v>
      </c>
      <c r="K1294" t="s">
        <v>1799</v>
      </c>
      <c r="L1294" t="s">
        <v>1506</v>
      </c>
      <c r="M1294" t="s">
        <v>1799</v>
      </c>
      <c r="N1294" t="s">
        <v>1799</v>
      </c>
      <c r="O1294" s="184" t="str">
        <f>"["&amp;$C1294&amp;"]["&amp;$D1294&amp;"]["&amp;$F1294&amp;"]"</f>
        <v>[S05_CategoryCHighestTierNotApplied][22][MonitoringParameterAffected]</v>
      </c>
    </row>
    <row r="1295" spans="1:15" x14ac:dyDescent="0.3">
      <c r="A1295" t="s">
        <v>1793</v>
      </c>
      <c r="B1295" t="s">
        <v>2088</v>
      </c>
      <c r="C1295" t="s">
        <v>2089</v>
      </c>
      <c r="D1295">
        <v>23</v>
      </c>
      <c r="E1295" t="s">
        <v>1447</v>
      </c>
      <c r="F1295" t="s">
        <v>2145</v>
      </c>
      <c r="G1295" t="s">
        <v>1737</v>
      </c>
      <c r="H1295" t="s">
        <v>1799</v>
      </c>
      <c r="I1295" t="s">
        <v>1799</v>
      </c>
      <c r="J1295" t="s">
        <v>1799</v>
      </c>
      <c r="K1295" t="s">
        <v>1799</v>
      </c>
      <c r="L1295" t="s">
        <v>1506</v>
      </c>
      <c r="M1295" t="s">
        <v>1799</v>
      </c>
      <c r="N1295" t="s">
        <v>1799</v>
      </c>
      <c r="O1295" s="184" t="str">
        <f>"["&amp;$C1295&amp;"]["&amp;$D1295&amp;"]["&amp;$F1295&amp;"]"</f>
        <v>[S05_CategoryCHighestTierNotApplied][23][MonitoringParameterAffected]</v>
      </c>
    </row>
    <row r="1296" spans="1:15" x14ac:dyDescent="0.3">
      <c r="A1296" t="s">
        <v>1793</v>
      </c>
      <c r="B1296" t="s">
        <v>2088</v>
      </c>
      <c r="C1296" t="s">
        <v>2089</v>
      </c>
      <c r="D1296">
        <v>24</v>
      </c>
      <c r="E1296" t="s">
        <v>1447</v>
      </c>
      <c r="F1296" t="s">
        <v>2145</v>
      </c>
      <c r="G1296" t="s">
        <v>1737</v>
      </c>
      <c r="H1296" t="s">
        <v>1799</v>
      </c>
      <c r="I1296" t="s">
        <v>1799</v>
      </c>
      <c r="J1296" t="s">
        <v>1799</v>
      </c>
      <c r="K1296" t="s">
        <v>1799</v>
      </c>
      <c r="L1296" t="s">
        <v>1506</v>
      </c>
      <c r="M1296" t="s">
        <v>1799</v>
      </c>
      <c r="N1296" t="s">
        <v>1799</v>
      </c>
      <c r="O1296" s="184" t="str">
        <f>"["&amp;$C1296&amp;"]["&amp;$D1296&amp;"]["&amp;$F1296&amp;"]"</f>
        <v>[S05_CategoryCHighestTierNotApplied][24][MonitoringParameterAffected]</v>
      </c>
    </row>
    <row r="1297" spans="1:15" x14ac:dyDescent="0.3">
      <c r="A1297" t="s">
        <v>1793</v>
      </c>
      <c r="B1297" t="s">
        <v>2088</v>
      </c>
      <c r="C1297" t="s">
        <v>2089</v>
      </c>
      <c r="D1297">
        <v>25</v>
      </c>
      <c r="E1297" t="s">
        <v>1447</v>
      </c>
      <c r="F1297" t="s">
        <v>2145</v>
      </c>
      <c r="G1297" t="s">
        <v>1737</v>
      </c>
      <c r="H1297" t="s">
        <v>1799</v>
      </c>
      <c r="I1297" t="s">
        <v>1799</v>
      </c>
      <c r="J1297" t="s">
        <v>1799</v>
      </c>
      <c r="K1297" t="s">
        <v>1799</v>
      </c>
      <c r="L1297" t="s">
        <v>1456</v>
      </c>
      <c r="M1297" t="s">
        <v>1799</v>
      </c>
      <c r="N1297" t="s">
        <v>1799</v>
      </c>
      <c r="O1297" s="184" t="str">
        <f>"["&amp;$C1297&amp;"]["&amp;$D1297&amp;"]["&amp;$F1297&amp;"]"</f>
        <v>[S05_CategoryCHighestTierNotApplied][25][MonitoringParameterAffected]</v>
      </c>
    </row>
    <row r="1298" spans="1:15" x14ac:dyDescent="0.3">
      <c r="A1298" t="s">
        <v>1793</v>
      </c>
      <c r="B1298" t="s">
        <v>2088</v>
      </c>
      <c r="C1298" t="s">
        <v>2089</v>
      </c>
      <c r="D1298">
        <v>26</v>
      </c>
      <c r="E1298" t="s">
        <v>1447</v>
      </c>
      <c r="F1298" t="s">
        <v>2145</v>
      </c>
      <c r="G1298" t="s">
        <v>1737</v>
      </c>
      <c r="H1298" t="s">
        <v>1799</v>
      </c>
      <c r="I1298" t="s">
        <v>1799</v>
      </c>
      <c r="J1298" t="s">
        <v>1799</v>
      </c>
      <c r="K1298" t="s">
        <v>1799</v>
      </c>
      <c r="L1298" t="s">
        <v>1456</v>
      </c>
      <c r="M1298" t="s">
        <v>1799</v>
      </c>
      <c r="N1298" t="s">
        <v>1799</v>
      </c>
      <c r="O1298" s="184" t="str">
        <f>"["&amp;$C1298&amp;"]["&amp;$D1298&amp;"]["&amp;$F1298&amp;"]"</f>
        <v>[S05_CategoryCHighestTierNotApplied][26][MonitoringParameterAffected]</v>
      </c>
    </row>
    <row r="1299" spans="1:15" x14ac:dyDescent="0.3">
      <c r="A1299" t="s">
        <v>1793</v>
      </c>
      <c r="B1299" t="s">
        <v>2088</v>
      </c>
      <c r="C1299" t="s">
        <v>2089</v>
      </c>
      <c r="D1299">
        <v>27</v>
      </c>
      <c r="E1299" t="s">
        <v>1447</v>
      </c>
      <c r="F1299" t="s">
        <v>2145</v>
      </c>
      <c r="G1299" t="s">
        <v>1737</v>
      </c>
      <c r="H1299" t="s">
        <v>1799</v>
      </c>
      <c r="I1299" t="s">
        <v>1799</v>
      </c>
      <c r="J1299" t="s">
        <v>1799</v>
      </c>
      <c r="K1299" t="s">
        <v>1799</v>
      </c>
      <c r="L1299" t="s">
        <v>1428</v>
      </c>
      <c r="M1299" t="s">
        <v>1799</v>
      </c>
      <c r="N1299" t="s">
        <v>1799</v>
      </c>
      <c r="O1299" s="184" t="str">
        <f>"["&amp;$C1299&amp;"]["&amp;$D1299&amp;"]["&amp;$F1299&amp;"]"</f>
        <v>[S05_CategoryCHighestTierNotApplied][27][MonitoringParameterAffected]</v>
      </c>
    </row>
    <row r="1300" spans="1:15" x14ac:dyDescent="0.3">
      <c r="A1300" t="s">
        <v>1793</v>
      </c>
      <c r="B1300" t="s">
        <v>2088</v>
      </c>
      <c r="C1300" t="s">
        <v>2089</v>
      </c>
      <c r="D1300">
        <v>28</v>
      </c>
      <c r="E1300" t="s">
        <v>1447</v>
      </c>
      <c r="F1300" t="s">
        <v>2145</v>
      </c>
      <c r="G1300" t="s">
        <v>1737</v>
      </c>
      <c r="H1300" t="s">
        <v>1799</v>
      </c>
      <c r="I1300" t="s">
        <v>1799</v>
      </c>
      <c r="J1300" t="s">
        <v>1799</v>
      </c>
      <c r="K1300" t="s">
        <v>1799</v>
      </c>
      <c r="L1300" t="s">
        <v>1428</v>
      </c>
      <c r="M1300" t="s">
        <v>1799</v>
      </c>
      <c r="N1300" t="s">
        <v>1799</v>
      </c>
      <c r="O1300" s="184" t="str">
        <f>"["&amp;$C1300&amp;"]["&amp;$D1300&amp;"]["&amp;$F1300&amp;"]"</f>
        <v>[S05_CategoryCHighestTierNotApplied][28][MonitoringParameterAffected]</v>
      </c>
    </row>
    <row r="1301" spans="1:15" x14ac:dyDescent="0.3">
      <c r="A1301" t="s">
        <v>1793</v>
      </c>
      <c r="B1301" t="s">
        <v>2088</v>
      </c>
      <c r="C1301" t="s">
        <v>2089</v>
      </c>
      <c r="D1301">
        <v>29</v>
      </c>
      <c r="E1301" t="s">
        <v>1447</v>
      </c>
      <c r="F1301" t="s">
        <v>2145</v>
      </c>
      <c r="G1301" t="s">
        <v>1737</v>
      </c>
      <c r="H1301" t="s">
        <v>1799</v>
      </c>
      <c r="I1301" t="s">
        <v>1799</v>
      </c>
      <c r="J1301" t="s">
        <v>1799</v>
      </c>
      <c r="K1301" t="s">
        <v>1799</v>
      </c>
      <c r="L1301" t="s">
        <v>1560</v>
      </c>
      <c r="M1301" t="s">
        <v>1799</v>
      </c>
      <c r="N1301" t="s">
        <v>1799</v>
      </c>
      <c r="O1301" s="184" t="str">
        <f>"["&amp;$C1301&amp;"]["&amp;$D1301&amp;"]["&amp;$F1301&amp;"]"</f>
        <v>[S05_CategoryCHighestTierNotApplied][29][MonitoringParameterAffected]</v>
      </c>
    </row>
    <row r="1302" spans="1:15" x14ac:dyDescent="0.3">
      <c r="A1302" t="s">
        <v>1793</v>
      </c>
      <c r="B1302" t="s">
        <v>2088</v>
      </c>
      <c r="C1302" t="s">
        <v>2089</v>
      </c>
      <c r="D1302">
        <v>30</v>
      </c>
      <c r="E1302" t="s">
        <v>1447</v>
      </c>
      <c r="F1302" t="s">
        <v>2145</v>
      </c>
      <c r="G1302" t="s">
        <v>1737</v>
      </c>
      <c r="H1302" t="s">
        <v>1799</v>
      </c>
      <c r="I1302" t="s">
        <v>1799</v>
      </c>
      <c r="J1302" t="s">
        <v>1799</v>
      </c>
      <c r="K1302" t="s">
        <v>1799</v>
      </c>
      <c r="L1302" t="s">
        <v>1506</v>
      </c>
      <c r="M1302" t="s">
        <v>1799</v>
      </c>
      <c r="N1302" t="s">
        <v>1799</v>
      </c>
      <c r="O1302" s="184" t="str">
        <f>"["&amp;$C1302&amp;"]["&amp;$D1302&amp;"]["&amp;$F1302&amp;"]"</f>
        <v>[S05_CategoryCHighestTierNotApplied][30][MonitoringParameterAffected]</v>
      </c>
    </row>
    <row r="1303" spans="1:15" x14ac:dyDescent="0.3">
      <c r="A1303" t="s">
        <v>1793</v>
      </c>
      <c r="B1303" t="s">
        <v>2088</v>
      </c>
      <c r="C1303" t="s">
        <v>2089</v>
      </c>
      <c r="D1303">
        <v>31</v>
      </c>
      <c r="E1303" t="s">
        <v>1447</v>
      </c>
      <c r="F1303" t="s">
        <v>2145</v>
      </c>
      <c r="G1303" t="s">
        <v>1737</v>
      </c>
      <c r="H1303" t="s">
        <v>1799</v>
      </c>
      <c r="I1303" t="s">
        <v>1799</v>
      </c>
      <c r="J1303" t="s">
        <v>1799</v>
      </c>
      <c r="K1303" t="s">
        <v>1799</v>
      </c>
      <c r="L1303" t="s">
        <v>1484</v>
      </c>
      <c r="M1303" t="s">
        <v>1799</v>
      </c>
      <c r="N1303" t="s">
        <v>1799</v>
      </c>
      <c r="O1303" s="184" t="str">
        <f>"["&amp;$C1303&amp;"]["&amp;$D1303&amp;"]["&amp;$F1303&amp;"]"</f>
        <v>[S05_CategoryCHighestTierNotApplied][31][MonitoringParameterAffected]</v>
      </c>
    </row>
    <row r="1304" spans="1:15" x14ac:dyDescent="0.3">
      <c r="A1304" t="s">
        <v>1793</v>
      </c>
      <c r="B1304" t="s">
        <v>2088</v>
      </c>
      <c r="C1304" t="s">
        <v>2089</v>
      </c>
      <c r="D1304">
        <v>32</v>
      </c>
      <c r="E1304" t="s">
        <v>1447</v>
      </c>
      <c r="F1304" t="s">
        <v>2145</v>
      </c>
      <c r="G1304" t="s">
        <v>1737</v>
      </c>
      <c r="H1304" t="s">
        <v>1799</v>
      </c>
      <c r="I1304" t="s">
        <v>1799</v>
      </c>
      <c r="J1304" t="s">
        <v>1799</v>
      </c>
      <c r="K1304" t="s">
        <v>1799</v>
      </c>
      <c r="L1304" t="s">
        <v>1428</v>
      </c>
      <c r="M1304" t="s">
        <v>1799</v>
      </c>
      <c r="N1304" t="s">
        <v>1799</v>
      </c>
      <c r="O1304" s="184" t="str">
        <f>"["&amp;$C1304&amp;"]["&amp;$D1304&amp;"]["&amp;$F1304&amp;"]"</f>
        <v>[S05_CategoryCHighestTierNotApplied][32][MonitoringParameterAffected]</v>
      </c>
    </row>
    <row r="1305" spans="1:15" x14ac:dyDescent="0.3">
      <c r="A1305" t="s">
        <v>1793</v>
      </c>
      <c r="B1305" t="s">
        <v>2088</v>
      </c>
      <c r="C1305" t="s">
        <v>2089</v>
      </c>
      <c r="D1305">
        <v>33</v>
      </c>
      <c r="E1305" t="s">
        <v>1447</v>
      </c>
      <c r="F1305" t="s">
        <v>2145</v>
      </c>
      <c r="G1305" t="s">
        <v>1737</v>
      </c>
      <c r="H1305" t="s">
        <v>1799</v>
      </c>
      <c r="I1305" t="s">
        <v>1799</v>
      </c>
      <c r="J1305" t="s">
        <v>1799</v>
      </c>
      <c r="K1305" t="s">
        <v>1799</v>
      </c>
      <c r="L1305" t="s">
        <v>1428</v>
      </c>
      <c r="M1305" t="s">
        <v>1799</v>
      </c>
      <c r="N1305" t="s">
        <v>1799</v>
      </c>
      <c r="O1305" s="184" t="str">
        <f>"["&amp;$C1305&amp;"]["&amp;$D1305&amp;"]["&amp;$F1305&amp;"]"</f>
        <v>[S05_CategoryCHighestTierNotApplied][33][MonitoringParameterAffected]</v>
      </c>
    </row>
    <row r="1306" spans="1:15" x14ac:dyDescent="0.3">
      <c r="A1306" t="s">
        <v>1793</v>
      </c>
      <c r="B1306" t="s">
        <v>2088</v>
      </c>
      <c r="C1306" t="s">
        <v>2089</v>
      </c>
      <c r="D1306">
        <v>34</v>
      </c>
      <c r="E1306" t="s">
        <v>1447</v>
      </c>
      <c r="F1306" t="s">
        <v>2145</v>
      </c>
      <c r="G1306" t="s">
        <v>1737</v>
      </c>
      <c r="H1306" t="s">
        <v>1799</v>
      </c>
      <c r="I1306" t="s">
        <v>1799</v>
      </c>
      <c r="J1306" t="s">
        <v>1799</v>
      </c>
      <c r="K1306" t="s">
        <v>1799</v>
      </c>
      <c r="L1306" t="s">
        <v>1428</v>
      </c>
      <c r="M1306" t="s">
        <v>1799</v>
      </c>
      <c r="N1306" t="s">
        <v>1799</v>
      </c>
      <c r="O1306" s="184" t="str">
        <f>"["&amp;$C1306&amp;"]["&amp;$D1306&amp;"]["&amp;$F1306&amp;"]"</f>
        <v>[S05_CategoryCHighestTierNotApplied][34][MonitoringParameterAffected]</v>
      </c>
    </row>
    <row r="1307" spans="1:15" x14ac:dyDescent="0.3">
      <c r="A1307" t="s">
        <v>1793</v>
      </c>
      <c r="B1307" t="s">
        <v>2088</v>
      </c>
      <c r="C1307" t="s">
        <v>2089</v>
      </c>
      <c r="D1307">
        <v>35</v>
      </c>
      <c r="E1307" t="s">
        <v>1447</v>
      </c>
      <c r="F1307" t="s">
        <v>2145</v>
      </c>
      <c r="G1307" t="s">
        <v>1737</v>
      </c>
      <c r="H1307" t="s">
        <v>1799</v>
      </c>
      <c r="I1307" t="s">
        <v>1799</v>
      </c>
      <c r="J1307" t="s">
        <v>1799</v>
      </c>
      <c r="K1307" t="s">
        <v>1799</v>
      </c>
      <c r="L1307" t="s">
        <v>1428</v>
      </c>
      <c r="M1307" t="s">
        <v>1799</v>
      </c>
      <c r="N1307" t="s">
        <v>1799</v>
      </c>
      <c r="O1307" s="184" t="str">
        <f>"["&amp;$C1307&amp;"]["&amp;$D1307&amp;"]["&amp;$F1307&amp;"]"</f>
        <v>[S05_CategoryCHighestTierNotApplied][35][MonitoringParameterAffected]</v>
      </c>
    </row>
    <row r="1308" spans="1:15" x14ac:dyDescent="0.3">
      <c r="A1308" t="s">
        <v>1793</v>
      </c>
      <c r="B1308" t="s">
        <v>2088</v>
      </c>
      <c r="C1308" t="s">
        <v>2089</v>
      </c>
      <c r="D1308">
        <v>36</v>
      </c>
      <c r="E1308" t="s">
        <v>1447</v>
      </c>
      <c r="F1308" t="s">
        <v>2145</v>
      </c>
      <c r="G1308" t="s">
        <v>1737</v>
      </c>
      <c r="H1308" t="s">
        <v>1799</v>
      </c>
      <c r="I1308" t="s">
        <v>1799</v>
      </c>
      <c r="J1308" t="s">
        <v>1799</v>
      </c>
      <c r="K1308" t="s">
        <v>1799</v>
      </c>
      <c r="L1308" t="s">
        <v>1428</v>
      </c>
      <c r="M1308" t="s">
        <v>1799</v>
      </c>
      <c r="N1308" t="s">
        <v>1799</v>
      </c>
      <c r="O1308" s="184" t="str">
        <f>"["&amp;$C1308&amp;"]["&amp;$D1308&amp;"]["&amp;$F1308&amp;"]"</f>
        <v>[S05_CategoryCHighestTierNotApplied][36][MonitoringParameterAffected]</v>
      </c>
    </row>
    <row r="1309" spans="1:15" x14ac:dyDescent="0.3">
      <c r="A1309" t="s">
        <v>1793</v>
      </c>
      <c r="B1309" t="s">
        <v>2088</v>
      </c>
      <c r="C1309" t="s">
        <v>2089</v>
      </c>
      <c r="D1309">
        <v>37</v>
      </c>
      <c r="E1309" t="s">
        <v>1447</v>
      </c>
      <c r="F1309" t="s">
        <v>2145</v>
      </c>
      <c r="G1309" t="s">
        <v>1737</v>
      </c>
      <c r="H1309" t="s">
        <v>1799</v>
      </c>
      <c r="I1309" t="s">
        <v>1799</v>
      </c>
      <c r="J1309" t="s">
        <v>1799</v>
      </c>
      <c r="K1309" t="s">
        <v>1799</v>
      </c>
      <c r="L1309" t="s">
        <v>1565</v>
      </c>
      <c r="M1309" t="s">
        <v>1799</v>
      </c>
      <c r="N1309" t="s">
        <v>1799</v>
      </c>
      <c r="O1309" s="184" t="str">
        <f>"["&amp;$C1309&amp;"]["&amp;$D1309&amp;"]["&amp;$F1309&amp;"]"</f>
        <v>[S05_CategoryCHighestTierNotApplied][37][MonitoringParameterAffected]</v>
      </c>
    </row>
    <row r="1310" spans="1:15" x14ac:dyDescent="0.3">
      <c r="A1310" t="s">
        <v>1793</v>
      </c>
      <c r="B1310" t="s">
        <v>2088</v>
      </c>
      <c r="C1310" t="s">
        <v>2089</v>
      </c>
      <c r="D1310">
        <v>38</v>
      </c>
      <c r="E1310" t="s">
        <v>1447</v>
      </c>
      <c r="F1310" t="s">
        <v>2145</v>
      </c>
      <c r="G1310" t="s">
        <v>1737</v>
      </c>
      <c r="H1310" t="s">
        <v>1799</v>
      </c>
      <c r="I1310" t="s">
        <v>1799</v>
      </c>
      <c r="J1310" t="s">
        <v>1799</v>
      </c>
      <c r="K1310" t="s">
        <v>1799</v>
      </c>
      <c r="L1310" t="s">
        <v>1565</v>
      </c>
      <c r="M1310" t="s">
        <v>1799</v>
      </c>
      <c r="N1310" t="s">
        <v>1799</v>
      </c>
      <c r="O1310" s="184" t="str">
        <f>"["&amp;$C1310&amp;"]["&amp;$D1310&amp;"]["&amp;$F1310&amp;"]"</f>
        <v>[S05_CategoryCHighestTierNotApplied][38][MonitoringParameterAffected]</v>
      </c>
    </row>
    <row r="1311" spans="1:15" x14ac:dyDescent="0.3">
      <c r="A1311" t="s">
        <v>1793</v>
      </c>
      <c r="B1311" t="s">
        <v>2088</v>
      </c>
      <c r="C1311" t="s">
        <v>2089</v>
      </c>
      <c r="D1311">
        <v>39</v>
      </c>
      <c r="E1311" t="s">
        <v>1447</v>
      </c>
      <c r="F1311" t="s">
        <v>2145</v>
      </c>
      <c r="G1311" t="s">
        <v>1737</v>
      </c>
      <c r="H1311" t="s">
        <v>1799</v>
      </c>
      <c r="I1311" t="s">
        <v>1799</v>
      </c>
      <c r="J1311" t="s">
        <v>1799</v>
      </c>
      <c r="K1311" t="s">
        <v>1799</v>
      </c>
      <c r="L1311" t="s">
        <v>1565</v>
      </c>
      <c r="M1311" t="s">
        <v>1799</v>
      </c>
      <c r="N1311" t="s">
        <v>1799</v>
      </c>
      <c r="O1311" s="184" t="str">
        <f>"["&amp;$C1311&amp;"]["&amp;$D1311&amp;"]["&amp;$F1311&amp;"]"</f>
        <v>[S05_CategoryCHighestTierNotApplied][39][MonitoringParameterAffected]</v>
      </c>
    </row>
    <row r="1312" spans="1:15" x14ac:dyDescent="0.3">
      <c r="A1312" t="s">
        <v>1793</v>
      </c>
      <c r="B1312" t="s">
        <v>2088</v>
      </c>
      <c r="C1312" t="s">
        <v>2089</v>
      </c>
      <c r="D1312">
        <v>40</v>
      </c>
      <c r="E1312" t="s">
        <v>1447</v>
      </c>
      <c r="F1312" t="s">
        <v>2145</v>
      </c>
      <c r="G1312" t="s">
        <v>1737</v>
      </c>
      <c r="H1312" t="s">
        <v>1799</v>
      </c>
      <c r="I1312" t="s">
        <v>1799</v>
      </c>
      <c r="J1312" t="s">
        <v>1799</v>
      </c>
      <c r="K1312" t="s">
        <v>1799</v>
      </c>
      <c r="L1312" t="s">
        <v>1565</v>
      </c>
      <c r="M1312" t="s">
        <v>1799</v>
      </c>
      <c r="N1312" t="s">
        <v>1799</v>
      </c>
      <c r="O1312" s="184" t="str">
        <f>"["&amp;$C1312&amp;"]["&amp;$D1312&amp;"]["&amp;$F1312&amp;"]"</f>
        <v>[S05_CategoryCHighestTierNotApplied][40][MonitoringParameterAffected]</v>
      </c>
    </row>
    <row r="1313" spans="1:15" x14ac:dyDescent="0.3">
      <c r="A1313" t="s">
        <v>1793</v>
      </c>
      <c r="B1313" t="s">
        <v>2088</v>
      </c>
      <c r="C1313" t="s">
        <v>2089</v>
      </c>
      <c r="D1313">
        <v>41</v>
      </c>
      <c r="E1313" t="s">
        <v>1447</v>
      </c>
      <c r="F1313" t="s">
        <v>2145</v>
      </c>
      <c r="G1313" t="s">
        <v>1737</v>
      </c>
      <c r="H1313" t="s">
        <v>1799</v>
      </c>
      <c r="I1313" t="s">
        <v>1799</v>
      </c>
      <c r="J1313" t="s">
        <v>1799</v>
      </c>
      <c r="K1313" t="s">
        <v>1799</v>
      </c>
      <c r="L1313" t="s">
        <v>1565</v>
      </c>
      <c r="M1313" t="s">
        <v>1799</v>
      </c>
      <c r="N1313" t="s">
        <v>1799</v>
      </c>
      <c r="O1313" s="184" t="str">
        <f>"["&amp;$C1313&amp;"]["&amp;$D1313&amp;"]["&amp;$F1313&amp;"]"</f>
        <v>[S05_CategoryCHighestTierNotApplied][41][MonitoringParameterAffected]</v>
      </c>
    </row>
    <row r="1314" spans="1:15" x14ac:dyDescent="0.3">
      <c r="A1314" t="s">
        <v>1793</v>
      </c>
      <c r="B1314" t="s">
        <v>2088</v>
      </c>
      <c r="C1314" t="s">
        <v>2089</v>
      </c>
      <c r="D1314">
        <v>1</v>
      </c>
      <c r="E1314" t="s">
        <v>1447</v>
      </c>
      <c r="F1314" t="s">
        <v>2146</v>
      </c>
      <c r="G1314" t="s">
        <v>1737</v>
      </c>
      <c r="H1314" t="s">
        <v>1799</v>
      </c>
      <c r="I1314" t="s">
        <v>1799</v>
      </c>
      <c r="J1314" t="s">
        <v>1799</v>
      </c>
      <c r="K1314" t="s">
        <v>1799</v>
      </c>
      <c r="L1314" t="s">
        <v>1544</v>
      </c>
      <c r="M1314" t="s">
        <v>1799</v>
      </c>
      <c r="N1314" t="s">
        <v>1799</v>
      </c>
      <c r="O1314" s="184" t="str">
        <f>"["&amp;$C1314&amp;"]["&amp;$D1314&amp;"]["&amp;$F1314&amp;"]"</f>
        <v>[S05_CategoryCHighestTierNotApplied][1][HighestTierRequired]</v>
      </c>
    </row>
    <row r="1315" spans="1:15" x14ac:dyDescent="0.3">
      <c r="A1315" t="s">
        <v>1793</v>
      </c>
      <c r="B1315" t="s">
        <v>2088</v>
      </c>
      <c r="C1315" t="s">
        <v>2089</v>
      </c>
      <c r="D1315">
        <v>2</v>
      </c>
      <c r="E1315" t="s">
        <v>1447</v>
      </c>
      <c r="F1315" t="s">
        <v>2146</v>
      </c>
      <c r="G1315" t="s">
        <v>1737</v>
      </c>
      <c r="H1315" t="s">
        <v>1799</v>
      </c>
      <c r="I1315" t="s">
        <v>1799</v>
      </c>
      <c r="J1315" t="s">
        <v>1799</v>
      </c>
      <c r="K1315" t="s">
        <v>1799</v>
      </c>
      <c r="L1315" t="s">
        <v>1544</v>
      </c>
      <c r="M1315" t="s">
        <v>1799</v>
      </c>
      <c r="N1315" t="s">
        <v>1799</v>
      </c>
      <c r="O1315" s="184" t="str">
        <f>"["&amp;$C1315&amp;"]["&amp;$D1315&amp;"]["&amp;$F1315&amp;"]"</f>
        <v>[S05_CategoryCHighestTierNotApplied][2][HighestTierRequired]</v>
      </c>
    </row>
    <row r="1316" spans="1:15" x14ac:dyDescent="0.3">
      <c r="A1316" t="s">
        <v>1793</v>
      </c>
      <c r="B1316" t="s">
        <v>2088</v>
      </c>
      <c r="C1316" t="s">
        <v>2089</v>
      </c>
      <c r="D1316">
        <v>3</v>
      </c>
      <c r="E1316" t="s">
        <v>1447</v>
      </c>
      <c r="F1316" t="s">
        <v>2146</v>
      </c>
      <c r="G1316" t="s">
        <v>1737</v>
      </c>
      <c r="H1316" t="s">
        <v>1799</v>
      </c>
      <c r="I1316" t="s">
        <v>1799</v>
      </c>
      <c r="J1316" t="s">
        <v>1799</v>
      </c>
      <c r="K1316" t="s">
        <v>1799</v>
      </c>
      <c r="L1316" t="s">
        <v>1544</v>
      </c>
      <c r="M1316" t="s">
        <v>1799</v>
      </c>
      <c r="N1316" t="s">
        <v>1799</v>
      </c>
      <c r="O1316" s="184" t="str">
        <f>"["&amp;$C1316&amp;"]["&amp;$D1316&amp;"]["&amp;$F1316&amp;"]"</f>
        <v>[S05_CategoryCHighestTierNotApplied][3][HighestTierRequired]</v>
      </c>
    </row>
    <row r="1317" spans="1:15" x14ac:dyDescent="0.3">
      <c r="A1317" t="s">
        <v>1793</v>
      </c>
      <c r="B1317" t="s">
        <v>2088</v>
      </c>
      <c r="C1317" t="s">
        <v>2089</v>
      </c>
      <c r="D1317">
        <v>4</v>
      </c>
      <c r="E1317" t="s">
        <v>1447</v>
      </c>
      <c r="F1317" t="s">
        <v>2146</v>
      </c>
      <c r="G1317" t="s">
        <v>1737</v>
      </c>
      <c r="H1317" t="s">
        <v>1799</v>
      </c>
      <c r="I1317" t="s">
        <v>1799</v>
      </c>
      <c r="J1317" t="s">
        <v>1799</v>
      </c>
      <c r="K1317" t="s">
        <v>1799</v>
      </c>
      <c r="L1317" t="s">
        <v>1544</v>
      </c>
      <c r="M1317" t="s">
        <v>1799</v>
      </c>
      <c r="N1317" t="s">
        <v>1799</v>
      </c>
      <c r="O1317" s="184" t="str">
        <f>"["&amp;$C1317&amp;"]["&amp;$D1317&amp;"]["&amp;$F1317&amp;"]"</f>
        <v>[S05_CategoryCHighestTierNotApplied][4][HighestTierRequired]</v>
      </c>
    </row>
    <row r="1318" spans="1:15" x14ac:dyDescent="0.3">
      <c r="A1318" t="s">
        <v>1793</v>
      </c>
      <c r="B1318" t="s">
        <v>2088</v>
      </c>
      <c r="C1318" t="s">
        <v>2089</v>
      </c>
      <c r="D1318">
        <v>5</v>
      </c>
      <c r="E1318" t="s">
        <v>1447</v>
      </c>
      <c r="F1318" t="s">
        <v>2146</v>
      </c>
      <c r="G1318" t="s">
        <v>1737</v>
      </c>
      <c r="H1318" t="s">
        <v>1799</v>
      </c>
      <c r="I1318" t="s">
        <v>1799</v>
      </c>
      <c r="J1318" t="s">
        <v>1799</v>
      </c>
      <c r="K1318" t="s">
        <v>1799</v>
      </c>
      <c r="L1318" t="s">
        <v>1534</v>
      </c>
      <c r="M1318" t="s">
        <v>1799</v>
      </c>
      <c r="N1318" t="s">
        <v>1799</v>
      </c>
      <c r="O1318" s="184" t="str">
        <f>"["&amp;$C1318&amp;"]["&amp;$D1318&amp;"]["&amp;$F1318&amp;"]"</f>
        <v>[S05_CategoryCHighestTierNotApplied][5][HighestTierRequired]</v>
      </c>
    </row>
    <row r="1319" spans="1:15" x14ac:dyDescent="0.3">
      <c r="A1319" t="s">
        <v>1793</v>
      </c>
      <c r="B1319" t="s">
        <v>2088</v>
      </c>
      <c r="C1319" t="s">
        <v>2089</v>
      </c>
      <c r="D1319">
        <v>6</v>
      </c>
      <c r="E1319" t="s">
        <v>1447</v>
      </c>
      <c r="F1319" t="s">
        <v>2146</v>
      </c>
      <c r="G1319" t="s">
        <v>1737</v>
      </c>
      <c r="H1319" t="s">
        <v>1799</v>
      </c>
      <c r="I1319" t="s">
        <v>1799</v>
      </c>
      <c r="J1319" t="s">
        <v>1799</v>
      </c>
      <c r="K1319" t="s">
        <v>1799</v>
      </c>
      <c r="L1319" t="s">
        <v>1534</v>
      </c>
      <c r="M1319" t="s">
        <v>1799</v>
      </c>
      <c r="N1319" t="s">
        <v>1799</v>
      </c>
      <c r="O1319" s="184" t="str">
        <f>"["&amp;$C1319&amp;"]["&amp;$D1319&amp;"]["&amp;$F1319&amp;"]"</f>
        <v>[S05_CategoryCHighestTierNotApplied][6][HighestTierRequired]</v>
      </c>
    </row>
    <row r="1320" spans="1:15" x14ac:dyDescent="0.3">
      <c r="A1320" t="s">
        <v>1793</v>
      </c>
      <c r="B1320" t="s">
        <v>2088</v>
      </c>
      <c r="C1320" t="s">
        <v>2089</v>
      </c>
      <c r="D1320">
        <v>7</v>
      </c>
      <c r="E1320" t="s">
        <v>1447</v>
      </c>
      <c r="F1320" t="s">
        <v>2146</v>
      </c>
      <c r="G1320" t="s">
        <v>1737</v>
      </c>
      <c r="H1320" t="s">
        <v>1799</v>
      </c>
      <c r="I1320" t="s">
        <v>1799</v>
      </c>
      <c r="J1320" t="s">
        <v>1799</v>
      </c>
      <c r="K1320" t="s">
        <v>1799</v>
      </c>
      <c r="L1320" t="s">
        <v>1544</v>
      </c>
      <c r="M1320" t="s">
        <v>1799</v>
      </c>
      <c r="N1320" t="s">
        <v>1799</v>
      </c>
      <c r="O1320" s="184" t="str">
        <f>"["&amp;$C1320&amp;"]["&amp;$D1320&amp;"]["&amp;$F1320&amp;"]"</f>
        <v>[S05_CategoryCHighestTierNotApplied][7][HighestTierRequired]</v>
      </c>
    </row>
    <row r="1321" spans="1:15" x14ac:dyDescent="0.3">
      <c r="A1321" t="s">
        <v>1793</v>
      </c>
      <c r="B1321" t="s">
        <v>2088</v>
      </c>
      <c r="C1321" t="s">
        <v>2089</v>
      </c>
      <c r="D1321">
        <v>8</v>
      </c>
      <c r="E1321" t="s">
        <v>1447</v>
      </c>
      <c r="F1321" t="s">
        <v>2146</v>
      </c>
      <c r="G1321" t="s">
        <v>1737</v>
      </c>
      <c r="H1321" t="s">
        <v>1799</v>
      </c>
      <c r="I1321" t="s">
        <v>1799</v>
      </c>
      <c r="J1321" t="s">
        <v>1799</v>
      </c>
      <c r="K1321" t="s">
        <v>1799</v>
      </c>
      <c r="L1321" t="s">
        <v>1544</v>
      </c>
      <c r="M1321" t="s">
        <v>1799</v>
      </c>
      <c r="N1321" t="s">
        <v>1799</v>
      </c>
      <c r="O1321" s="184" t="str">
        <f>"["&amp;$C1321&amp;"]["&amp;$D1321&amp;"]["&amp;$F1321&amp;"]"</f>
        <v>[S05_CategoryCHighestTierNotApplied][8][HighestTierRequired]</v>
      </c>
    </row>
    <row r="1322" spans="1:15" x14ac:dyDescent="0.3">
      <c r="A1322" t="s">
        <v>1793</v>
      </c>
      <c r="B1322" t="s">
        <v>2088</v>
      </c>
      <c r="C1322" t="s">
        <v>2089</v>
      </c>
      <c r="D1322">
        <v>9</v>
      </c>
      <c r="E1322" t="s">
        <v>1447</v>
      </c>
      <c r="F1322" t="s">
        <v>2146</v>
      </c>
      <c r="G1322" t="s">
        <v>1737</v>
      </c>
      <c r="H1322" t="s">
        <v>1799</v>
      </c>
      <c r="I1322" t="s">
        <v>1799</v>
      </c>
      <c r="J1322" t="s">
        <v>1799</v>
      </c>
      <c r="K1322" t="s">
        <v>1799</v>
      </c>
      <c r="L1322" t="s">
        <v>1544</v>
      </c>
      <c r="M1322" t="s">
        <v>1799</v>
      </c>
      <c r="N1322" t="s">
        <v>1799</v>
      </c>
      <c r="O1322" s="184" t="str">
        <f>"["&amp;$C1322&amp;"]["&amp;$D1322&amp;"]["&amp;$F1322&amp;"]"</f>
        <v>[S05_CategoryCHighestTierNotApplied][9][HighestTierRequired]</v>
      </c>
    </row>
    <row r="1323" spans="1:15" x14ac:dyDescent="0.3">
      <c r="A1323" t="s">
        <v>1793</v>
      </c>
      <c r="B1323" t="s">
        <v>2088</v>
      </c>
      <c r="C1323" t="s">
        <v>2089</v>
      </c>
      <c r="D1323">
        <v>10</v>
      </c>
      <c r="E1323" t="s">
        <v>1447</v>
      </c>
      <c r="F1323" t="s">
        <v>2146</v>
      </c>
      <c r="G1323" t="s">
        <v>1737</v>
      </c>
      <c r="H1323" t="s">
        <v>1799</v>
      </c>
      <c r="I1323" t="s">
        <v>1799</v>
      </c>
      <c r="J1323" t="s">
        <v>1799</v>
      </c>
      <c r="K1323" t="s">
        <v>1799</v>
      </c>
      <c r="L1323" t="s">
        <v>1544</v>
      </c>
      <c r="M1323" t="s">
        <v>1799</v>
      </c>
      <c r="N1323" t="s">
        <v>1799</v>
      </c>
      <c r="O1323" s="184" t="str">
        <f>"["&amp;$C1323&amp;"]["&amp;$D1323&amp;"]["&amp;$F1323&amp;"]"</f>
        <v>[S05_CategoryCHighestTierNotApplied][10][HighestTierRequired]</v>
      </c>
    </row>
    <row r="1324" spans="1:15" x14ac:dyDescent="0.3">
      <c r="A1324" t="s">
        <v>1793</v>
      </c>
      <c r="B1324" t="s">
        <v>2088</v>
      </c>
      <c r="C1324" t="s">
        <v>2089</v>
      </c>
      <c r="D1324">
        <v>11</v>
      </c>
      <c r="E1324" t="s">
        <v>1447</v>
      </c>
      <c r="F1324" t="s">
        <v>2146</v>
      </c>
      <c r="G1324" t="s">
        <v>1737</v>
      </c>
      <c r="H1324" t="s">
        <v>1799</v>
      </c>
      <c r="I1324" t="s">
        <v>1799</v>
      </c>
      <c r="J1324" t="s">
        <v>1799</v>
      </c>
      <c r="K1324" t="s">
        <v>1799</v>
      </c>
      <c r="L1324" t="s">
        <v>1544</v>
      </c>
      <c r="M1324" t="s">
        <v>1799</v>
      </c>
      <c r="N1324" t="s">
        <v>1799</v>
      </c>
      <c r="O1324" s="184" t="str">
        <f>"["&amp;$C1324&amp;"]["&amp;$D1324&amp;"]["&amp;$F1324&amp;"]"</f>
        <v>[S05_CategoryCHighestTierNotApplied][11][HighestTierRequired]</v>
      </c>
    </row>
    <row r="1325" spans="1:15" x14ac:dyDescent="0.3">
      <c r="A1325" t="s">
        <v>1793</v>
      </c>
      <c r="B1325" t="s">
        <v>2088</v>
      </c>
      <c r="C1325" t="s">
        <v>2089</v>
      </c>
      <c r="D1325">
        <v>12</v>
      </c>
      <c r="E1325" t="s">
        <v>1447</v>
      </c>
      <c r="F1325" t="s">
        <v>2146</v>
      </c>
      <c r="G1325" t="s">
        <v>1737</v>
      </c>
      <c r="H1325" t="s">
        <v>1799</v>
      </c>
      <c r="I1325" t="s">
        <v>1799</v>
      </c>
      <c r="J1325" t="s">
        <v>1799</v>
      </c>
      <c r="K1325" t="s">
        <v>1799</v>
      </c>
      <c r="L1325" t="s">
        <v>1544</v>
      </c>
      <c r="M1325" t="s">
        <v>1799</v>
      </c>
      <c r="N1325" t="s">
        <v>1799</v>
      </c>
      <c r="O1325" s="184" t="str">
        <f>"["&amp;$C1325&amp;"]["&amp;$D1325&amp;"]["&amp;$F1325&amp;"]"</f>
        <v>[S05_CategoryCHighestTierNotApplied][12][HighestTierRequired]</v>
      </c>
    </row>
    <row r="1326" spans="1:15" x14ac:dyDescent="0.3">
      <c r="A1326" t="s">
        <v>1793</v>
      </c>
      <c r="B1326" t="s">
        <v>2088</v>
      </c>
      <c r="C1326" t="s">
        <v>2089</v>
      </c>
      <c r="D1326">
        <v>13</v>
      </c>
      <c r="E1326" t="s">
        <v>1447</v>
      </c>
      <c r="F1326" t="s">
        <v>2146</v>
      </c>
      <c r="G1326" t="s">
        <v>1737</v>
      </c>
      <c r="H1326" t="s">
        <v>1799</v>
      </c>
      <c r="I1326" t="s">
        <v>1799</v>
      </c>
      <c r="J1326" t="s">
        <v>1799</v>
      </c>
      <c r="K1326" t="s">
        <v>1799</v>
      </c>
      <c r="L1326" t="s">
        <v>1544</v>
      </c>
      <c r="M1326" t="s">
        <v>1799</v>
      </c>
      <c r="N1326" t="s">
        <v>1799</v>
      </c>
      <c r="O1326" s="184" t="str">
        <f>"["&amp;$C1326&amp;"]["&amp;$D1326&amp;"]["&amp;$F1326&amp;"]"</f>
        <v>[S05_CategoryCHighestTierNotApplied][13][HighestTierRequired]</v>
      </c>
    </row>
    <row r="1327" spans="1:15" x14ac:dyDescent="0.3">
      <c r="A1327" t="s">
        <v>1793</v>
      </c>
      <c r="B1327" t="s">
        <v>2088</v>
      </c>
      <c r="C1327" t="s">
        <v>2089</v>
      </c>
      <c r="D1327">
        <v>14</v>
      </c>
      <c r="E1327" t="s">
        <v>1447</v>
      </c>
      <c r="F1327" t="s">
        <v>2146</v>
      </c>
      <c r="G1327" t="s">
        <v>1737</v>
      </c>
      <c r="H1327" t="s">
        <v>1799</v>
      </c>
      <c r="I1327" t="s">
        <v>1799</v>
      </c>
      <c r="J1327" t="s">
        <v>1799</v>
      </c>
      <c r="K1327" t="s">
        <v>1799</v>
      </c>
      <c r="L1327" t="s">
        <v>1544</v>
      </c>
      <c r="M1327" t="s">
        <v>1799</v>
      </c>
      <c r="N1327" t="s">
        <v>1799</v>
      </c>
      <c r="O1327" s="184" t="str">
        <f>"["&amp;$C1327&amp;"]["&amp;$D1327&amp;"]["&amp;$F1327&amp;"]"</f>
        <v>[S05_CategoryCHighestTierNotApplied][14][HighestTierRequired]</v>
      </c>
    </row>
    <row r="1328" spans="1:15" x14ac:dyDescent="0.3">
      <c r="A1328" t="s">
        <v>1793</v>
      </c>
      <c r="B1328" t="s">
        <v>2088</v>
      </c>
      <c r="C1328" t="s">
        <v>2089</v>
      </c>
      <c r="D1328">
        <v>15</v>
      </c>
      <c r="E1328" t="s">
        <v>1447</v>
      </c>
      <c r="F1328" t="s">
        <v>2146</v>
      </c>
      <c r="G1328" t="s">
        <v>1737</v>
      </c>
      <c r="H1328" t="s">
        <v>1799</v>
      </c>
      <c r="I1328" t="s">
        <v>1799</v>
      </c>
      <c r="J1328" t="s">
        <v>1799</v>
      </c>
      <c r="K1328" t="s">
        <v>1799</v>
      </c>
      <c r="L1328" t="s">
        <v>1544</v>
      </c>
      <c r="M1328" t="s">
        <v>1799</v>
      </c>
      <c r="N1328" t="s">
        <v>1799</v>
      </c>
      <c r="O1328" s="184" t="str">
        <f>"["&amp;$C1328&amp;"]["&amp;$D1328&amp;"]["&amp;$F1328&amp;"]"</f>
        <v>[S05_CategoryCHighestTierNotApplied][15][HighestTierRequired]</v>
      </c>
    </row>
    <row r="1329" spans="1:15" x14ac:dyDescent="0.3">
      <c r="A1329" t="s">
        <v>1793</v>
      </c>
      <c r="B1329" t="s">
        <v>2088</v>
      </c>
      <c r="C1329" t="s">
        <v>2089</v>
      </c>
      <c r="D1329">
        <v>16</v>
      </c>
      <c r="E1329" t="s">
        <v>1447</v>
      </c>
      <c r="F1329" t="s">
        <v>2146</v>
      </c>
      <c r="G1329" t="s">
        <v>1737</v>
      </c>
      <c r="H1329" t="s">
        <v>1799</v>
      </c>
      <c r="I1329" t="s">
        <v>1799</v>
      </c>
      <c r="J1329" t="s">
        <v>1799</v>
      </c>
      <c r="K1329" t="s">
        <v>1799</v>
      </c>
      <c r="L1329" t="s">
        <v>1544</v>
      </c>
      <c r="M1329" t="s">
        <v>1799</v>
      </c>
      <c r="N1329" t="s">
        <v>1799</v>
      </c>
      <c r="O1329" s="184" t="str">
        <f>"["&amp;$C1329&amp;"]["&amp;$D1329&amp;"]["&amp;$F1329&amp;"]"</f>
        <v>[S05_CategoryCHighestTierNotApplied][16][HighestTierRequired]</v>
      </c>
    </row>
    <row r="1330" spans="1:15" x14ac:dyDescent="0.3">
      <c r="A1330" t="s">
        <v>1793</v>
      </c>
      <c r="B1330" t="s">
        <v>2088</v>
      </c>
      <c r="C1330" t="s">
        <v>2089</v>
      </c>
      <c r="D1330">
        <v>17</v>
      </c>
      <c r="E1330" t="s">
        <v>1447</v>
      </c>
      <c r="F1330" t="s">
        <v>2146</v>
      </c>
      <c r="G1330" t="s">
        <v>1737</v>
      </c>
      <c r="H1330" t="s">
        <v>1799</v>
      </c>
      <c r="I1330" t="s">
        <v>1799</v>
      </c>
      <c r="J1330" t="s">
        <v>1799</v>
      </c>
      <c r="K1330" t="s">
        <v>1799</v>
      </c>
      <c r="L1330" t="s">
        <v>1534</v>
      </c>
      <c r="M1330" t="s">
        <v>1799</v>
      </c>
      <c r="N1330" t="s">
        <v>1799</v>
      </c>
      <c r="O1330" s="184" t="str">
        <f>"["&amp;$C1330&amp;"]["&amp;$D1330&amp;"]["&amp;$F1330&amp;"]"</f>
        <v>[S05_CategoryCHighestTierNotApplied][17][HighestTierRequired]</v>
      </c>
    </row>
    <row r="1331" spans="1:15" x14ac:dyDescent="0.3">
      <c r="A1331" t="s">
        <v>1793</v>
      </c>
      <c r="B1331" t="s">
        <v>2088</v>
      </c>
      <c r="C1331" t="s">
        <v>2089</v>
      </c>
      <c r="D1331">
        <v>18</v>
      </c>
      <c r="E1331" t="s">
        <v>1447</v>
      </c>
      <c r="F1331" t="s">
        <v>2146</v>
      </c>
      <c r="G1331" t="s">
        <v>1737</v>
      </c>
      <c r="H1331" t="s">
        <v>1799</v>
      </c>
      <c r="I1331" t="s">
        <v>1799</v>
      </c>
      <c r="J1331" t="s">
        <v>1799</v>
      </c>
      <c r="K1331" t="s">
        <v>1799</v>
      </c>
      <c r="L1331" t="s">
        <v>1544</v>
      </c>
      <c r="M1331" t="s">
        <v>1799</v>
      </c>
      <c r="N1331" t="s">
        <v>1799</v>
      </c>
      <c r="O1331" s="184" t="str">
        <f>"["&amp;$C1331&amp;"]["&amp;$D1331&amp;"]["&amp;$F1331&amp;"]"</f>
        <v>[S05_CategoryCHighestTierNotApplied][18][HighestTierRequired]</v>
      </c>
    </row>
    <row r="1332" spans="1:15" x14ac:dyDescent="0.3">
      <c r="A1332" t="s">
        <v>1793</v>
      </c>
      <c r="B1332" t="s">
        <v>2088</v>
      </c>
      <c r="C1332" t="s">
        <v>2089</v>
      </c>
      <c r="D1332">
        <v>19</v>
      </c>
      <c r="E1332" t="s">
        <v>1447</v>
      </c>
      <c r="F1332" t="s">
        <v>2146</v>
      </c>
      <c r="G1332" t="s">
        <v>1737</v>
      </c>
      <c r="H1332" t="s">
        <v>1799</v>
      </c>
      <c r="I1332" t="s">
        <v>1799</v>
      </c>
      <c r="J1332" t="s">
        <v>1799</v>
      </c>
      <c r="K1332" t="s">
        <v>1799</v>
      </c>
      <c r="L1332" t="s">
        <v>1544</v>
      </c>
      <c r="M1332" t="s">
        <v>1799</v>
      </c>
      <c r="N1332" t="s">
        <v>1799</v>
      </c>
      <c r="O1332" s="184" t="str">
        <f>"["&amp;$C1332&amp;"]["&amp;$D1332&amp;"]["&amp;$F1332&amp;"]"</f>
        <v>[S05_CategoryCHighestTierNotApplied][19][HighestTierRequired]</v>
      </c>
    </row>
    <row r="1333" spans="1:15" x14ac:dyDescent="0.3">
      <c r="A1333" t="s">
        <v>1793</v>
      </c>
      <c r="B1333" t="s">
        <v>2088</v>
      </c>
      <c r="C1333" t="s">
        <v>2089</v>
      </c>
      <c r="D1333">
        <v>20</v>
      </c>
      <c r="E1333" t="s">
        <v>1447</v>
      </c>
      <c r="F1333" t="s">
        <v>2146</v>
      </c>
      <c r="G1333" t="s">
        <v>1737</v>
      </c>
      <c r="H1333" t="s">
        <v>1799</v>
      </c>
      <c r="I1333" t="s">
        <v>1799</v>
      </c>
      <c r="J1333" t="s">
        <v>1799</v>
      </c>
      <c r="K1333" t="s">
        <v>1799</v>
      </c>
      <c r="L1333" t="s">
        <v>1544</v>
      </c>
      <c r="M1333" t="s">
        <v>1799</v>
      </c>
      <c r="N1333" t="s">
        <v>1799</v>
      </c>
      <c r="O1333" s="184" t="str">
        <f>"["&amp;$C1333&amp;"]["&amp;$D1333&amp;"]["&amp;$F1333&amp;"]"</f>
        <v>[S05_CategoryCHighestTierNotApplied][20][HighestTierRequired]</v>
      </c>
    </row>
    <row r="1334" spans="1:15" x14ac:dyDescent="0.3">
      <c r="A1334" t="s">
        <v>1793</v>
      </c>
      <c r="B1334" t="s">
        <v>2088</v>
      </c>
      <c r="C1334" t="s">
        <v>2089</v>
      </c>
      <c r="D1334">
        <v>21</v>
      </c>
      <c r="E1334" t="s">
        <v>1447</v>
      </c>
      <c r="F1334" t="s">
        <v>2146</v>
      </c>
      <c r="G1334" t="s">
        <v>1737</v>
      </c>
      <c r="H1334" t="s">
        <v>1799</v>
      </c>
      <c r="I1334" t="s">
        <v>1799</v>
      </c>
      <c r="J1334" t="s">
        <v>1799</v>
      </c>
      <c r="K1334" t="s">
        <v>1799</v>
      </c>
      <c r="L1334" t="s">
        <v>1534</v>
      </c>
      <c r="M1334" t="s">
        <v>1799</v>
      </c>
      <c r="N1334" t="s">
        <v>1799</v>
      </c>
      <c r="O1334" s="184" t="str">
        <f>"["&amp;$C1334&amp;"]["&amp;$D1334&amp;"]["&amp;$F1334&amp;"]"</f>
        <v>[S05_CategoryCHighestTierNotApplied][21][HighestTierRequired]</v>
      </c>
    </row>
    <row r="1335" spans="1:15" x14ac:dyDescent="0.3">
      <c r="A1335" t="s">
        <v>1793</v>
      </c>
      <c r="B1335" t="s">
        <v>2088</v>
      </c>
      <c r="C1335" t="s">
        <v>2089</v>
      </c>
      <c r="D1335">
        <v>22</v>
      </c>
      <c r="E1335" t="s">
        <v>1447</v>
      </c>
      <c r="F1335" t="s">
        <v>2146</v>
      </c>
      <c r="G1335" t="s">
        <v>1737</v>
      </c>
      <c r="H1335" t="s">
        <v>1799</v>
      </c>
      <c r="I1335" t="s">
        <v>1799</v>
      </c>
      <c r="J1335" t="s">
        <v>1799</v>
      </c>
      <c r="K1335" t="s">
        <v>1799</v>
      </c>
      <c r="L1335" t="s">
        <v>1534</v>
      </c>
      <c r="M1335" t="s">
        <v>1799</v>
      </c>
      <c r="N1335" t="s">
        <v>1799</v>
      </c>
      <c r="O1335" s="184" t="str">
        <f>"["&amp;$C1335&amp;"]["&amp;$D1335&amp;"]["&amp;$F1335&amp;"]"</f>
        <v>[S05_CategoryCHighestTierNotApplied][22][HighestTierRequired]</v>
      </c>
    </row>
    <row r="1336" spans="1:15" x14ac:dyDescent="0.3">
      <c r="A1336" t="s">
        <v>1793</v>
      </c>
      <c r="B1336" t="s">
        <v>2088</v>
      </c>
      <c r="C1336" t="s">
        <v>2089</v>
      </c>
      <c r="D1336">
        <v>23</v>
      </c>
      <c r="E1336" t="s">
        <v>1447</v>
      </c>
      <c r="F1336" t="s">
        <v>2146</v>
      </c>
      <c r="G1336" t="s">
        <v>1737</v>
      </c>
      <c r="H1336" t="s">
        <v>1799</v>
      </c>
      <c r="I1336" t="s">
        <v>1799</v>
      </c>
      <c r="J1336" t="s">
        <v>1799</v>
      </c>
      <c r="K1336" t="s">
        <v>1799</v>
      </c>
      <c r="L1336" t="s">
        <v>1534</v>
      </c>
      <c r="M1336" t="s">
        <v>1799</v>
      </c>
      <c r="N1336" t="s">
        <v>1799</v>
      </c>
      <c r="O1336" s="184" t="str">
        <f>"["&amp;$C1336&amp;"]["&amp;$D1336&amp;"]["&amp;$F1336&amp;"]"</f>
        <v>[S05_CategoryCHighestTierNotApplied][23][HighestTierRequired]</v>
      </c>
    </row>
    <row r="1337" spans="1:15" x14ac:dyDescent="0.3">
      <c r="A1337" t="s">
        <v>1793</v>
      </c>
      <c r="B1337" t="s">
        <v>2088</v>
      </c>
      <c r="C1337" t="s">
        <v>2089</v>
      </c>
      <c r="D1337">
        <v>24</v>
      </c>
      <c r="E1337" t="s">
        <v>1447</v>
      </c>
      <c r="F1337" t="s">
        <v>2146</v>
      </c>
      <c r="G1337" t="s">
        <v>1737</v>
      </c>
      <c r="H1337" t="s">
        <v>1799</v>
      </c>
      <c r="I1337" t="s">
        <v>1799</v>
      </c>
      <c r="J1337" t="s">
        <v>1799</v>
      </c>
      <c r="K1337" t="s">
        <v>1799</v>
      </c>
      <c r="L1337" t="s">
        <v>1534</v>
      </c>
      <c r="M1337" t="s">
        <v>1799</v>
      </c>
      <c r="N1337" t="s">
        <v>1799</v>
      </c>
      <c r="O1337" s="184" t="str">
        <f>"["&amp;$C1337&amp;"]["&amp;$D1337&amp;"]["&amp;$F1337&amp;"]"</f>
        <v>[S05_CategoryCHighestTierNotApplied][24][HighestTierRequired]</v>
      </c>
    </row>
    <row r="1338" spans="1:15" x14ac:dyDescent="0.3">
      <c r="A1338" t="s">
        <v>1793</v>
      </c>
      <c r="B1338" t="s">
        <v>2088</v>
      </c>
      <c r="C1338" t="s">
        <v>2089</v>
      </c>
      <c r="D1338">
        <v>25</v>
      </c>
      <c r="E1338" t="s">
        <v>1447</v>
      </c>
      <c r="F1338" t="s">
        <v>2146</v>
      </c>
      <c r="G1338" t="s">
        <v>1737</v>
      </c>
      <c r="H1338" t="s">
        <v>1799</v>
      </c>
      <c r="I1338" t="s">
        <v>1799</v>
      </c>
      <c r="J1338" t="s">
        <v>1799</v>
      </c>
      <c r="K1338" t="s">
        <v>1799</v>
      </c>
      <c r="L1338" t="s">
        <v>1544</v>
      </c>
      <c r="M1338" t="s">
        <v>1799</v>
      </c>
      <c r="N1338" t="s">
        <v>1799</v>
      </c>
      <c r="O1338" s="184" t="str">
        <f>"["&amp;$C1338&amp;"]["&amp;$D1338&amp;"]["&amp;$F1338&amp;"]"</f>
        <v>[S05_CategoryCHighestTierNotApplied][25][HighestTierRequired]</v>
      </c>
    </row>
    <row r="1339" spans="1:15" x14ac:dyDescent="0.3">
      <c r="A1339" t="s">
        <v>1793</v>
      </c>
      <c r="B1339" t="s">
        <v>2088</v>
      </c>
      <c r="C1339" t="s">
        <v>2089</v>
      </c>
      <c r="D1339">
        <v>26</v>
      </c>
      <c r="E1339" t="s">
        <v>1447</v>
      </c>
      <c r="F1339" t="s">
        <v>2146</v>
      </c>
      <c r="G1339" t="s">
        <v>1737</v>
      </c>
      <c r="H1339" t="s">
        <v>1799</v>
      </c>
      <c r="I1339" t="s">
        <v>1799</v>
      </c>
      <c r="J1339" t="s">
        <v>1799</v>
      </c>
      <c r="K1339" t="s">
        <v>1799</v>
      </c>
      <c r="L1339" t="s">
        <v>1544</v>
      </c>
      <c r="M1339" t="s">
        <v>1799</v>
      </c>
      <c r="N1339" t="s">
        <v>1799</v>
      </c>
      <c r="O1339" s="184" t="str">
        <f>"["&amp;$C1339&amp;"]["&amp;$D1339&amp;"]["&amp;$F1339&amp;"]"</f>
        <v>[S05_CategoryCHighestTierNotApplied][26][HighestTierRequired]</v>
      </c>
    </row>
    <row r="1340" spans="1:15" x14ac:dyDescent="0.3">
      <c r="A1340" t="s">
        <v>1793</v>
      </c>
      <c r="B1340" t="s">
        <v>2088</v>
      </c>
      <c r="C1340" t="s">
        <v>2089</v>
      </c>
      <c r="D1340">
        <v>27</v>
      </c>
      <c r="E1340" t="s">
        <v>1447</v>
      </c>
      <c r="F1340" t="s">
        <v>2146</v>
      </c>
      <c r="G1340" t="s">
        <v>1737</v>
      </c>
      <c r="H1340" t="s">
        <v>1799</v>
      </c>
      <c r="I1340" t="s">
        <v>1799</v>
      </c>
      <c r="J1340" t="s">
        <v>1799</v>
      </c>
      <c r="K1340" t="s">
        <v>1799</v>
      </c>
      <c r="L1340" t="s">
        <v>1544</v>
      </c>
      <c r="M1340" t="s">
        <v>1799</v>
      </c>
      <c r="N1340" t="s">
        <v>1799</v>
      </c>
      <c r="O1340" s="184" t="str">
        <f>"["&amp;$C1340&amp;"]["&amp;$D1340&amp;"]["&amp;$F1340&amp;"]"</f>
        <v>[S05_CategoryCHighestTierNotApplied][27][HighestTierRequired]</v>
      </c>
    </row>
    <row r="1341" spans="1:15" x14ac:dyDescent="0.3">
      <c r="A1341" t="s">
        <v>1793</v>
      </c>
      <c r="B1341" t="s">
        <v>2088</v>
      </c>
      <c r="C1341" t="s">
        <v>2089</v>
      </c>
      <c r="D1341">
        <v>28</v>
      </c>
      <c r="E1341" t="s">
        <v>1447</v>
      </c>
      <c r="F1341" t="s">
        <v>2146</v>
      </c>
      <c r="G1341" t="s">
        <v>1737</v>
      </c>
      <c r="H1341" t="s">
        <v>1799</v>
      </c>
      <c r="I1341" t="s">
        <v>1799</v>
      </c>
      <c r="J1341" t="s">
        <v>1799</v>
      </c>
      <c r="K1341" t="s">
        <v>1799</v>
      </c>
      <c r="L1341" t="s">
        <v>1544</v>
      </c>
      <c r="M1341" t="s">
        <v>1799</v>
      </c>
      <c r="N1341" t="s">
        <v>1799</v>
      </c>
      <c r="O1341" s="184" t="str">
        <f>"["&amp;$C1341&amp;"]["&amp;$D1341&amp;"]["&amp;$F1341&amp;"]"</f>
        <v>[S05_CategoryCHighestTierNotApplied][28][HighestTierRequired]</v>
      </c>
    </row>
    <row r="1342" spans="1:15" x14ac:dyDescent="0.3">
      <c r="A1342" t="s">
        <v>1793</v>
      </c>
      <c r="B1342" t="s">
        <v>2088</v>
      </c>
      <c r="C1342" t="s">
        <v>2089</v>
      </c>
      <c r="D1342">
        <v>29</v>
      </c>
      <c r="E1342" t="s">
        <v>1447</v>
      </c>
      <c r="F1342" t="s">
        <v>2146</v>
      </c>
      <c r="G1342" t="s">
        <v>1737</v>
      </c>
      <c r="H1342" t="s">
        <v>1799</v>
      </c>
      <c r="I1342" t="s">
        <v>1799</v>
      </c>
      <c r="J1342" t="s">
        <v>1799</v>
      </c>
      <c r="K1342" t="s">
        <v>1799</v>
      </c>
      <c r="L1342" t="s">
        <v>1534</v>
      </c>
      <c r="M1342" t="s">
        <v>1799</v>
      </c>
      <c r="N1342" t="s">
        <v>1799</v>
      </c>
      <c r="O1342" s="184" t="str">
        <f>"["&amp;$C1342&amp;"]["&amp;$D1342&amp;"]["&amp;$F1342&amp;"]"</f>
        <v>[S05_CategoryCHighestTierNotApplied][29][HighestTierRequired]</v>
      </c>
    </row>
    <row r="1343" spans="1:15" x14ac:dyDescent="0.3">
      <c r="A1343" t="s">
        <v>1793</v>
      </c>
      <c r="B1343" t="s">
        <v>2088</v>
      </c>
      <c r="C1343" t="s">
        <v>2089</v>
      </c>
      <c r="D1343">
        <v>30</v>
      </c>
      <c r="E1343" t="s">
        <v>1447</v>
      </c>
      <c r="F1343" t="s">
        <v>2146</v>
      </c>
      <c r="G1343" t="s">
        <v>1737</v>
      </c>
      <c r="H1343" t="s">
        <v>1799</v>
      </c>
      <c r="I1343" t="s">
        <v>1799</v>
      </c>
      <c r="J1343" t="s">
        <v>1799</v>
      </c>
      <c r="K1343" t="s">
        <v>1799</v>
      </c>
      <c r="L1343" t="s">
        <v>1534</v>
      </c>
      <c r="M1343" t="s">
        <v>1799</v>
      </c>
      <c r="N1343" t="s">
        <v>1799</v>
      </c>
      <c r="O1343" s="184" t="str">
        <f>"["&amp;$C1343&amp;"]["&amp;$D1343&amp;"]["&amp;$F1343&amp;"]"</f>
        <v>[S05_CategoryCHighestTierNotApplied][30][HighestTierRequired]</v>
      </c>
    </row>
    <row r="1344" spans="1:15" x14ac:dyDescent="0.3">
      <c r="A1344" t="s">
        <v>1793</v>
      </c>
      <c r="B1344" t="s">
        <v>2088</v>
      </c>
      <c r="C1344" t="s">
        <v>2089</v>
      </c>
      <c r="D1344">
        <v>31</v>
      </c>
      <c r="E1344" t="s">
        <v>1447</v>
      </c>
      <c r="F1344" t="s">
        <v>2146</v>
      </c>
      <c r="G1344" t="s">
        <v>1737</v>
      </c>
      <c r="H1344" t="s">
        <v>1799</v>
      </c>
      <c r="I1344" t="s">
        <v>1799</v>
      </c>
      <c r="J1344" t="s">
        <v>1799</v>
      </c>
      <c r="K1344" t="s">
        <v>1799</v>
      </c>
      <c r="L1344" t="s">
        <v>1534</v>
      </c>
      <c r="M1344" t="s">
        <v>1799</v>
      </c>
      <c r="N1344" t="s">
        <v>1799</v>
      </c>
      <c r="O1344" s="184" t="str">
        <f>"["&amp;$C1344&amp;"]["&amp;$D1344&amp;"]["&amp;$F1344&amp;"]"</f>
        <v>[S05_CategoryCHighestTierNotApplied][31][HighestTierRequired]</v>
      </c>
    </row>
    <row r="1345" spans="1:15" x14ac:dyDescent="0.3">
      <c r="A1345" t="s">
        <v>1793</v>
      </c>
      <c r="B1345" t="s">
        <v>2088</v>
      </c>
      <c r="C1345" t="s">
        <v>2089</v>
      </c>
      <c r="D1345">
        <v>32</v>
      </c>
      <c r="E1345" t="s">
        <v>1447</v>
      </c>
      <c r="F1345" t="s">
        <v>2146</v>
      </c>
      <c r="G1345" t="s">
        <v>1737</v>
      </c>
      <c r="H1345" t="s">
        <v>1799</v>
      </c>
      <c r="I1345" t="s">
        <v>1799</v>
      </c>
      <c r="J1345" t="s">
        <v>1799</v>
      </c>
      <c r="K1345" t="s">
        <v>1799</v>
      </c>
      <c r="L1345" t="s">
        <v>1544</v>
      </c>
      <c r="M1345" t="s">
        <v>1799</v>
      </c>
      <c r="N1345" t="s">
        <v>1799</v>
      </c>
      <c r="O1345" s="184" t="str">
        <f>"["&amp;$C1345&amp;"]["&amp;$D1345&amp;"]["&amp;$F1345&amp;"]"</f>
        <v>[S05_CategoryCHighestTierNotApplied][32][HighestTierRequired]</v>
      </c>
    </row>
    <row r="1346" spans="1:15" x14ac:dyDescent="0.3">
      <c r="A1346" t="s">
        <v>1793</v>
      </c>
      <c r="B1346" t="s">
        <v>2088</v>
      </c>
      <c r="C1346" t="s">
        <v>2089</v>
      </c>
      <c r="D1346">
        <v>33</v>
      </c>
      <c r="E1346" t="s">
        <v>1447</v>
      </c>
      <c r="F1346" t="s">
        <v>2146</v>
      </c>
      <c r="G1346" t="s">
        <v>1737</v>
      </c>
      <c r="H1346" t="s">
        <v>1799</v>
      </c>
      <c r="I1346" t="s">
        <v>1799</v>
      </c>
      <c r="J1346" t="s">
        <v>1799</v>
      </c>
      <c r="K1346" t="s">
        <v>1799</v>
      </c>
      <c r="L1346" t="s">
        <v>1544</v>
      </c>
      <c r="M1346" t="s">
        <v>1799</v>
      </c>
      <c r="N1346" t="s">
        <v>1799</v>
      </c>
      <c r="O1346" s="184" t="str">
        <f>"["&amp;$C1346&amp;"]["&amp;$D1346&amp;"]["&amp;$F1346&amp;"]"</f>
        <v>[S05_CategoryCHighestTierNotApplied][33][HighestTierRequired]</v>
      </c>
    </row>
    <row r="1347" spans="1:15" x14ac:dyDescent="0.3">
      <c r="A1347" t="s">
        <v>1793</v>
      </c>
      <c r="B1347" t="s">
        <v>2088</v>
      </c>
      <c r="C1347" t="s">
        <v>2089</v>
      </c>
      <c r="D1347">
        <v>34</v>
      </c>
      <c r="E1347" t="s">
        <v>1447</v>
      </c>
      <c r="F1347" t="s">
        <v>2146</v>
      </c>
      <c r="G1347" t="s">
        <v>1737</v>
      </c>
      <c r="H1347" t="s">
        <v>1799</v>
      </c>
      <c r="I1347" t="s">
        <v>1799</v>
      </c>
      <c r="J1347" t="s">
        <v>1799</v>
      </c>
      <c r="K1347" t="s">
        <v>1799</v>
      </c>
      <c r="L1347" t="s">
        <v>1544</v>
      </c>
      <c r="M1347" t="s">
        <v>1799</v>
      </c>
      <c r="N1347" t="s">
        <v>1799</v>
      </c>
      <c r="O1347" s="184" t="str">
        <f>"["&amp;$C1347&amp;"]["&amp;$D1347&amp;"]["&amp;$F1347&amp;"]"</f>
        <v>[S05_CategoryCHighestTierNotApplied][34][HighestTierRequired]</v>
      </c>
    </row>
    <row r="1348" spans="1:15" x14ac:dyDescent="0.3">
      <c r="A1348" t="s">
        <v>1793</v>
      </c>
      <c r="B1348" t="s">
        <v>2088</v>
      </c>
      <c r="C1348" t="s">
        <v>2089</v>
      </c>
      <c r="D1348">
        <v>35</v>
      </c>
      <c r="E1348" t="s">
        <v>1447</v>
      </c>
      <c r="F1348" t="s">
        <v>2146</v>
      </c>
      <c r="G1348" t="s">
        <v>1737</v>
      </c>
      <c r="H1348" t="s">
        <v>1799</v>
      </c>
      <c r="I1348" t="s">
        <v>1799</v>
      </c>
      <c r="J1348" t="s">
        <v>1799</v>
      </c>
      <c r="K1348" t="s">
        <v>1799</v>
      </c>
      <c r="L1348" t="s">
        <v>1544</v>
      </c>
      <c r="M1348" t="s">
        <v>1799</v>
      </c>
      <c r="N1348" t="s">
        <v>1799</v>
      </c>
      <c r="O1348" s="184" t="str">
        <f>"["&amp;$C1348&amp;"]["&amp;$D1348&amp;"]["&amp;$F1348&amp;"]"</f>
        <v>[S05_CategoryCHighestTierNotApplied][35][HighestTierRequired]</v>
      </c>
    </row>
    <row r="1349" spans="1:15" x14ac:dyDescent="0.3">
      <c r="A1349" t="s">
        <v>1793</v>
      </c>
      <c r="B1349" t="s">
        <v>2088</v>
      </c>
      <c r="C1349" t="s">
        <v>2089</v>
      </c>
      <c r="D1349">
        <v>36</v>
      </c>
      <c r="E1349" t="s">
        <v>1447</v>
      </c>
      <c r="F1349" t="s">
        <v>2146</v>
      </c>
      <c r="G1349" t="s">
        <v>1737</v>
      </c>
      <c r="H1349" t="s">
        <v>1799</v>
      </c>
      <c r="I1349" t="s">
        <v>1799</v>
      </c>
      <c r="J1349" t="s">
        <v>1799</v>
      </c>
      <c r="K1349" t="s">
        <v>1799</v>
      </c>
      <c r="L1349" t="s">
        <v>1544</v>
      </c>
      <c r="M1349" t="s">
        <v>1799</v>
      </c>
      <c r="N1349" t="s">
        <v>1799</v>
      </c>
      <c r="O1349" s="184" t="str">
        <f>"["&amp;$C1349&amp;"]["&amp;$D1349&amp;"]["&amp;$F1349&amp;"]"</f>
        <v>[S05_CategoryCHighestTierNotApplied][36][HighestTierRequired]</v>
      </c>
    </row>
    <row r="1350" spans="1:15" x14ac:dyDescent="0.3">
      <c r="A1350" t="s">
        <v>1793</v>
      </c>
      <c r="B1350" t="s">
        <v>2088</v>
      </c>
      <c r="C1350" t="s">
        <v>2089</v>
      </c>
      <c r="D1350">
        <v>37</v>
      </c>
      <c r="E1350" t="s">
        <v>1447</v>
      </c>
      <c r="F1350" t="s">
        <v>2146</v>
      </c>
      <c r="G1350" t="s">
        <v>1737</v>
      </c>
      <c r="H1350" t="s">
        <v>1799</v>
      </c>
      <c r="I1350" t="s">
        <v>1799</v>
      </c>
      <c r="J1350" t="s">
        <v>1799</v>
      </c>
      <c r="K1350" t="s">
        <v>1799</v>
      </c>
      <c r="L1350" t="s">
        <v>1544</v>
      </c>
      <c r="M1350" t="s">
        <v>1799</v>
      </c>
      <c r="N1350" t="s">
        <v>1799</v>
      </c>
      <c r="O1350" s="184" t="str">
        <f>"["&amp;$C1350&amp;"]["&amp;$D1350&amp;"]["&amp;$F1350&amp;"]"</f>
        <v>[S05_CategoryCHighestTierNotApplied][37][HighestTierRequired]</v>
      </c>
    </row>
    <row r="1351" spans="1:15" x14ac:dyDescent="0.3">
      <c r="A1351" t="s">
        <v>1793</v>
      </c>
      <c r="B1351" t="s">
        <v>2088</v>
      </c>
      <c r="C1351" t="s">
        <v>2089</v>
      </c>
      <c r="D1351">
        <v>38</v>
      </c>
      <c r="E1351" t="s">
        <v>1447</v>
      </c>
      <c r="F1351" t="s">
        <v>2146</v>
      </c>
      <c r="G1351" t="s">
        <v>1737</v>
      </c>
      <c r="H1351" t="s">
        <v>1799</v>
      </c>
      <c r="I1351" t="s">
        <v>1799</v>
      </c>
      <c r="J1351" t="s">
        <v>1799</v>
      </c>
      <c r="K1351" t="s">
        <v>1799</v>
      </c>
      <c r="L1351" t="s">
        <v>1544</v>
      </c>
      <c r="M1351" t="s">
        <v>1799</v>
      </c>
      <c r="N1351" t="s">
        <v>1799</v>
      </c>
      <c r="O1351" s="184" t="str">
        <f>"["&amp;$C1351&amp;"]["&amp;$D1351&amp;"]["&amp;$F1351&amp;"]"</f>
        <v>[S05_CategoryCHighestTierNotApplied][38][HighestTierRequired]</v>
      </c>
    </row>
    <row r="1352" spans="1:15" x14ac:dyDescent="0.3">
      <c r="A1352" t="s">
        <v>1793</v>
      </c>
      <c r="B1352" t="s">
        <v>2088</v>
      </c>
      <c r="C1352" t="s">
        <v>2089</v>
      </c>
      <c r="D1352">
        <v>39</v>
      </c>
      <c r="E1352" t="s">
        <v>1447</v>
      </c>
      <c r="F1352" t="s">
        <v>2146</v>
      </c>
      <c r="G1352" t="s">
        <v>1737</v>
      </c>
      <c r="H1352" t="s">
        <v>1799</v>
      </c>
      <c r="I1352" t="s">
        <v>1799</v>
      </c>
      <c r="J1352" t="s">
        <v>1799</v>
      </c>
      <c r="K1352" t="s">
        <v>1799</v>
      </c>
      <c r="L1352" t="s">
        <v>1544</v>
      </c>
      <c r="M1352" t="s">
        <v>1799</v>
      </c>
      <c r="N1352" t="s">
        <v>1799</v>
      </c>
      <c r="O1352" s="184" t="str">
        <f>"["&amp;$C1352&amp;"]["&amp;$D1352&amp;"]["&amp;$F1352&amp;"]"</f>
        <v>[S05_CategoryCHighestTierNotApplied][39][HighestTierRequired]</v>
      </c>
    </row>
    <row r="1353" spans="1:15" x14ac:dyDescent="0.3">
      <c r="A1353" t="s">
        <v>1793</v>
      </c>
      <c r="B1353" t="s">
        <v>2088</v>
      </c>
      <c r="C1353" t="s">
        <v>2089</v>
      </c>
      <c r="D1353">
        <v>40</v>
      </c>
      <c r="E1353" t="s">
        <v>1447</v>
      </c>
      <c r="F1353" t="s">
        <v>2146</v>
      </c>
      <c r="G1353" t="s">
        <v>1737</v>
      </c>
      <c r="H1353" t="s">
        <v>1799</v>
      </c>
      <c r="I1353" t="s">
        <v>1799</v>
      </c>
      <c r="J1353" t="s">
        <v>1799</v>
      </c>
      <c r="K1353" t="s">
        <v>1799</v>
      </c>
      <c r="L1353" t="s">
        <v>1544</v>
      </c>
      <c r="M1353" t="s">
        <v>1799</v>
      </c>
      <c r="N1353" t="s">
        <v>1799</v>
      </c>
      <c r="O1353" s="184" t="str">
        <f>"["&amp;$C1353&amp;"]["&amp;$D1353&amp;"]["&amp;$F1353&amp;"]"</f>
        <v>[S05_CategoryCHighestTierNotApplied][40][HighestTierRequired]</v>
      </c>
    </row>
    <row r="1354" spans="1:15" x14ac:dyDescent="0.3">
      <c r="A1354" t="s">
        <v>1793</v>
      </c>
      <c r="B1354" t="s">
        <v>2088</v>
      </c>
      <c r="C1354" t="s">
        <v>2089</v>
      </c>
      <c r="D1354">
        <v>41</v>
      </c>
      <c r="E1354" t="s">
        <v>1447</v>
      </c>
      <c r="F1354" t="s">
        <v>2146</v>
      </c>
      <c r="G1354" t="s">
        <v>1737</v>
      </c>
      <c r="H1354" t="s">
        <v>1799</v>
      </c>
      <c r="I1354" t="s">
        <v>1799</v>
      </c>
      <c r="J1354" t="s">
        <v>1799</v>
      </c>
      <c r="K1354" t="s">
        <v>1799</v>
      </c>
      <c r="L1354" t="s">
        <v>1544</v>
      </c>
      <c r="M1354" t="s">
        <v>1799</v>
      </c>
      <c r="N1354" t="s">
        <v>1799</v>
      </c>
      <c r="O1354" s="184" t="str">
        <f>"["&amp;$C1354&amp;"]["&amp;$D1354&amp;"]["&amp;$F1354&amp;"]"</f>
        <v>[S05_CategoryCHighestTierNotApplied][41][HighestTierRequired]</v>
      </c>
    </row>
    <row r="1355" spans="1:15" x14ac:dyDescent="0.3">
      <c r="A1355" t="s">
        <v>1793</v>
      </c>
      <c r="B1355" t="s">
        <v>2088</v>
      </c>
      <c r="C1355" t="s">
        <v>2089</v>
      </c>
      <c r="D1355">
        <v>1</v>
      </c>
      <c r="E1355" t="s">
        <v>1447</v>
      </c>
      <c r="F1355" t="s">
        <v>2147</v>
      </c>
      <c r="G1355" t="s">
        <v>1737</v>
      </c>
      <c r="H1355" t="s">
        <v>1799</v>
      </c>
      <c r="I1355" t="s">
        <v>1799</v>
      </c>
      <c r="J1355" t="s">
        <v>1799</v>
      </c>
      <c r="K1355" t="s">
        <v>1799</v>
      </c>
      <c r="L1355" t="s">
        <v>1534</v>
      </c>
      <c r="M1355" t="s">
        <v>1799</v>
      </c>
      <c r="N1355" t="s">
        <v>1799</v>
      </c>
      <c r="O1355" s="184" t="str">
        <f>"["&amp;$C1355&amp;"]["&amp;$D1355&amp;"]["&amp;$F1355&amp;"]"</f>
        <v>[S05_CategoryCHighestTierNotApplied][1][TierInPractice]</v>
      </c>
    </row>
    <row r="1356" spans="1:15" x14ac:dyDescent="0.3">
      <c r="A1356" t="s">
        <v>1793</v>
      </c>
      <c r="B1356" t="s">
        <v>2088</v>
      </c>
      <c r="C1356" t="s">
        <v>2089</v>
      </c>
      <c r="D1356">
        <v>2</v>
      </c>
      <c r="E1356" t="s">
        <v>1447</v>
      </c>
      <c r="F1356" t="s">
        <v>2147</v>
      </c>
      <c r="G1356" t="s">
        <v>1737</v>
      </c>
      <c r="H1356" t="s">
        <v>1799</v>
      </c>
      <c r="I1356" t="s">
        <v>1799</v>
      </c>
      <c r="J1356" t="s">
        <v>1799</v>
      </c>
      <c r="K1356" t="s">
        <v>1799</v>
      </c>
      <c r="L1356" t="s">
        <v>1534</v>
      </c>
      <c r="M1356" t="s">
        <v>1799</v>
      </c>
      <c r="N1356" t="s">
        <v>1799</v>
      </c>
      <c r="O1356" s="184" t="str">
        <f>"["&amp;$C1356&amp;"]["&amp;$D1356&amp;"]["&amp;$F1356&amp;"]"</f>
        <v>[S05_CategoryCHighestTierNotApplied][2][TierInPractice]</v>
      </c>
    </row>
    <row r="1357" spans="1:15" x14ac:dyDescent="0.3">
      <c r="A1357" t="s">
        <v>1793</v>
      </c>
      <c r="B1357" t="s">
        <v>2088</v>
      </c>
      <c r="C1357" t="s">
        <v>2089</v>
      </c>
      <c r="D1357">
        <v>3</v>
      </c>
      <c r="E1357" t="s">
        <v>1447</v>
      </c>
      <c r="F1357" t="s">
        <v>2147</v>
      </c>
      <c r="G1357" t="s">
        <v>1737</v>
      </c>
      <c r="H1357" t="s">
        <v>1799</v>
      </c>
      <c r="I1357" t="s">
        <v>1799</v>
      </c>
      <c r="J1357" t="s">
        <v>1799</v>
      </c>
      <c r="K1357" t="s">
        <v>1799</v>
      </c>
      <c r="L1357" t="s">
        <v>1457</v>
      </c>
      <c r="M1357" t="s">
        <v>1799</v>
      </c>
      <c r="N1357" t="s">
        <v>1799</v>
      </c>
      <c r="O1357" s="184" t="str">
        <f>"["&amp;$C1357&amp;"]["&amp;$D1357&amp;"]["&amp;$F1357&amp;"]"</f>
        <v>[S05_CategoryCHighestTierNotApplied][3][TierInPractice]</v>
      </c>
    </row>
    <row r="1358" spans="1:15" x14ac:dyDescent="0.3">
      <c r="A1358" t="s">
        <v>1793</v>
      </c>
      <c r="B1358" t="s">
        <v>2088</v>
      </c>
      <c r="C1358" t="s">
        <v>2089</v>
      </c>
      <c r="D1358">
        <v>4</v>
      </c>
      <c r="E1358" t="s">
        <v>1447</v>
      </c>
      <c r="F1358" t="s">
        <v>2147</v>
      </c>
      <c r="G1358" t="s">
        <v>1737</v>
      </c>
      <c r="H1358" t="s">
        <v>1799</v>
      </c>
      <c r="I1358" t="s">
        <v>1799</v>
      </c>
      <c r="J1358" t="s">
        <v>1799</v>
      </c>
      <c r="K1358" t="s">
        <v>1799</v>
      </c>
      <c r="L1358" t="s">
        <v>1534</v>
      </c>
      <c r="M1358" t="s">
        <v>1799</v>
      </c>
      <c r="N1358" t="s">
        <v>1799</v>
      </c>
      <c r="O1358" s="184" t="str">
        <f>"["&amp;$C1358&amp;"]["&amp;$D1358&amp;"]["&amp;$F1358&amp;"]"</f>
        <v>[S05_CategoryCHighestTierNotApplied][4][TierInPractice]</v>
      </c>
    </row>
    <row r="1359" spans="1:15" x14ac:dyDescent="0.3">
      <c r="A1359" t="s">
        <v>1793</v>
      </c>
      <c r="B1359" t="s">
        <v>2088</v>
      </c>
      <c r="C1359" t="s">
        <v>2089</v>
      </c>
      <c r="D1359">
        <v>5</v>
      </c>
      <c r="E1359" t="s">
        <v>1447</v>
      </c>
      <c r="F1359" t="s">
        <v>2147</v>
      </c>
      <c r="G1359" t="s">
        <v>1737</v>
      </c>
      <c r="H1359" t="s">
        <v>1799</v>
      </c>
      <c r="I1359" t="s">
        <v>1799</v>
      </c>
      <c r="J1359" t="s">
        <v>1799</v>
      </c>
      <c r="K1359" t="s">
        <v>1799</v>
      </c>
      <c r="L1359" t="s">
        <v>1457</v>
      </c>
      <c r="M1359" t="s">
        <v>1799</v>
      </c>
      <c r="N1359" t="s">
        <v>1799</v>
      </c>
      <c r="O1359" s="184" t="str">
        <f>"["&amp;$C1359&amp;"]["&amp;$D1359&amp;"]["&amp;$F1359&amp;"]"</f>
        <v>[S05_CategoryCHighestTierNotApplied][5][TierInPractice]</v>
      </c>
    </row>
    <row r="1360" spans="1:15" x14ac:dyDescent="0.3">
      <c r="A1360" t="s">
        <v>1793</v>
      </c>
      <c r="B1360" t="s">
        <v>2088</v>
      </c>
      <c r="C1360" t="s">
        <v>2089</v>
      </c>
      <c r="D1360">
        <v>6</v>
      </c>
      <c r="E1360" t="s">
        <v>1447</v>
      </c>
      <c r="F1360" t="s">
        <v>2147</v>
      </c>
      <c r="G1360" t="s">
        <v>1737</v>
      </c>
      <c r="H1360" t="s">
        <v>1799</v>
      </c>
      <c r="I1360" t="s">
        <v>1799</v>
      </c>
      <c r="J1360" t="s">
        <v>1799</v>
      </c>
      <c r="K1360" t="s">
        <v>1799</v>
      </c>
      <c r="L1360" t="s">
        <v>1457</v>
      </c>
      <c r="M1360" t="s">
        <v>1799</v>
      </c>
      <c r="N1360" t="s">
        <v>1799</v>
      </c>
      <c r="O1360" s="184" t="str">
        <f>"["&amp;$C1360&amp;"]["&amp;$D1360&amp;"]["&amp;$F1360&amp;"]"</f>
        <v>[S05_CategoryCHighestTierNotApplied][6][TierInPractice]</v>
      </c>
    </row>
    <row r="1361" spans="1:15" x14ac:dyDescent="0.3">
      <c r="A1361" t="s">
        <v>1793</v>
      </c>
      <c r="B1361" t="s">
        <v>2088</v>
      </c>
      <c r="C1361" t="s">
        <v>2089</v>
      </c>
      <c r="D1361">
        <v>7</v>
      </c>
      <c r="E1361" t="s">
        <v>1447</v>
      </c>
      <c r="F1361" t="s">
        <v>2147</v>
      </c>
      <c r="G1361" t="s">
        <v>1737</v>
      </c>
      <c r="H1361" t="s">
        <v>1799</v>
      </c>
      <c r="I1361" t="s">
        <v>1799</v>
      </c>
      <c r="J1361" t="s">
        <v>1799</v>
      </c>
      <c r="K1361" t="s">
        <v>1799</v>
      </c>
      <c r="L1361" t="s">
        <v>1534</v>
      </c>
      <c r="M1361" t="s">
        <v>1799</v>
      </c>
      <c r="N1361" t="s">
        <v>1799</v>
      </c>
      <c r="O1361" s="184" t="str">
        <f>"["&amp;$C1361&amp;"]["&amp;$D1361&amp;"]["&amp;$F1361&amp;"]"</f>
        <v>[S05_CategoryCHighestTierNotApplied][7][TierInPractice]</v>
      </c>
    </row>
    <row r="1362" spans="1:15" x14ac:dyDescent="0.3">
      <c r="A1362" t="s">
        <v>1793</v>
      </c>
      <c r="B1362" t="s">
        <v>2088</v>
      </c>
      <c r="C1362" t="s">
        <v>2089</v>
      </c>
      <c r="D1362">
        <v>8</v>
      </c>
      <c r="E1362" t="s">
        <v>1447</v>
      </c>
      <c r="F1362" t="s">
        <v>2147</v>
      </c>
      <c r="G1362" t="s">
        <v>1737</v>
      </c>
      <c r="H1362" t="s">
        <v>1799</v>
      </c>
      <c r="I1362" t="s">
        <v>1799</v>
      </c>
      <c r="J1362" t="s">
        <v>1799</v>
      </c>
      <c r="K1362" t="s">
        <v>1799</v>
      </c>
      <c r="L1362" t="s">
        <v>1457</v>
      </c>
      <c r="M1362" t="s">
        <v>1799</v>
      </c>
      <c r="N1362" t="s">
        <v>1799</v>
      </c>
      <c r="O1362" s="184" t="str">
        <f>"["&amp;$C1362&amp;"]["&amp;$D1362&amp;"]["&amp;$F1362&amp;"]"</f>
        <v>[S05_CategoryCHighestTierNotApplied][8][TierInPractice]</v>
      </c>
    </row>
    <row r="1363" spans="1:15" x14ac:dyDescent="0.3">
      <c r="A1363" t="s">
        <v>1793</v>
      </c>
      <c r="B1363" t="s">
        <v>2088</v>
      </c>
      <c r="C1363" t="s">
        <v>2089</v>
      </c>
      <c r="D1363">
        <v>9</v>
      </c>
      <c r="E1363" t="s">
        <v>1447</v>
      </c>
      <c r="F1363" t="s">
        <v>2147</v>
      </c>
      <c r="G1363" t="s">
        <v>1737</v>
      </c>
      <c r="H1363" t="s">
        <v>1799</v>
      </c>
      <c r="I1363" t="s">
        <v>1799</v>
      </c>
      <c r="J1363" t="s">
        <v>1799</v>
      </c>
      <c r="K1363" t="s">
        <v>1799</v>
      </c>
      <c r="L1363" t="s">
        <v>1534</v>
      </c>
      <c r="M1363" t="s">
        <v>1799</v>
      </c>
      <c r="N1363" t="s">
        <v>1799</v>
      </c>
      <c r="O1363" s="184" t="str">
        <f>"["&amp;$C1363&amp;"]["&amp;$D1363&amp;"]["&amp;$F1363&amp;"]"</f>
        <v>[S05_CategoryCHighestTierNotApplied][9][TierInPractice]</v>
      </c>
    </row>
    <row r="1364" spans="1:15" x14ac:dyDescent="0.3">
      <c r="A1364" t="s">
        <v>1793</v>
      </c>
      <c r="B1364" t="s">
        <v>2088</v>
      </c>
      <c r="C1364" t="s">
        <v>2089</v>
      </c>
      <c r="D1364">
        <v>10</v>
      </c>
      <c r="E1364" t="s">
        <v>1447</v>
      </c>
      <c r="F1364" t="s">
        <v>2147</v>
      </c>
      <c r="G1364" t="s">
        <v>1737</v>
      </c>
      <c r="H1364" t="s">
        <v>1799</v>
      </c>
      <c r="I1364" t="s">
        <v>1799</v>
      </c>
      <c r="J1364" t="s">
        <v>1799</v>
      </c>
      <c r="K1364" t="s">
        <v>1799</v>
      </c>
      <c r="L1364" t="s">
        <v>1485</v>
      </c>
      <c r="M1364" t="s">
        <v>1799</v>
      </c>
      <c r="N1364" t="s">
        <v>1799</v>
      </c>
      <c r="O1364" s="184" t="str">
        <f>"["&amp;$C1364&amp;"]["&amp;$D1364&amp;"]["&amp;$F1364&amp;"]"</f>
        <v>[S05_CategoryCHighestTierNotApplied][10][TierInPractice]</v>
      </c>
    </row>
    <row r="1365" spans="1:15" x14ac:dyDescent="0.3">
      <c r="A1365" t="s">
        <v>1793</v>
      </c>
      <c r="B1365" t="s">
        <v>2088</v>
      </c>
      <c r="C1365" t="s">
        <v>2089</v>
      </c>
      <c r="D1365">
        <v>11</v>
      </c>
      <c r="E1365" t="s">
        <v>1447</v>
      </c>
      <c r="F1365" t="s">
        <v>2147</v>
      </c>
      <c r="G1365" t="s">
        <v>1737</v>
      </c>
      <c r="H1365" t="s">
        <v>1799</v>
      </c>
      <c r="I1365" t="s">
        <v>1799</v>
      </c>
      <c r="J1365" t="s">
        <v>1799</v>
      </c>
      <c r="K1365" t="s">
        <v>1799</v>
      </c>
      <c r="L1365" t="s">
        <v>1457</v>
      </c>
      <c r="M1365" t="s">
        <v>1799</v>
      </c>
      <c r="N1365" t="s">
        <v>1799</v>
      </c>
      <c r="O1365" s="184" t="str">
        <f>"["&amp;$C1365&amp;"]["&amp;$D1365&amp;"]["&amp;$F1365&amp;"]"</f>
        <v>[S05_CategoryCHighestTierNotApplied][11][TierInPractice]</v>
      </c>
    </row>
    <row r="1366" spans="1:15" x14ac:dyDescent="0.3">
      <c r="A1366" t="s">
        <v>1793</v>
      </c>
      <c r="B1366" t="s">
        <v>2088</v>
      </c>
      <c r="C1366" t="s">
        <v>2089</v>
      </c>
      <c r="D1366">
        <v>12</v>
      </c>
      <c r="E1366" t="s">
        <v>1447</v>
      </c>
      <c r="F1366" t="s">
        <v>2147</v>
      </c>
      <c r="G1366" t="s">
        <v>1737</v>
      </c>
      <c r="H1366" t="s">
        <v>1799</v>
      </c>
      <c r="I1366" t="s">
        <v>1799</v>
      </c>
      <c r="J1366" t="s">
        <v>1799</v>
      </c>
      <c r="K1366" t="s">
        <v>1799</v>
      </c>
      <c r="L1366" t="s">
        <v>1534</v>
      </c>
      <c r="M1366" t="s">
        <v>1799</v>
      </c>
      <c r="N1366" t="s">
        <v>1799</v>
      </c>
      <c r="O1366" s="184" t="str">
        <f>"["&amp;$C1366&amp;"]["&amp;$D1366&amp;"]["&amp;$F1366&amp;"]"</f>
        <v>[S05_CategoryCHighestTierNotApplied][12][TierInPractice]</v>
      </c>
    </row>
    <row r="1367" spans="1:15" x14ac:dyDescent="0.3">
      <c r="A1367" t="s">
        <v>1793</v>
      </c>
      <c r="B1367" t="s">
        <v>2088</v>
      </c>
      <c r="C1367" t="s">
        <v>2089</v>
      </c>
      <c r="D1367">
        <v>13</v>
      </c>
      <c r="E1367" t="s">
        <v>1447</v>
      </c>
      <c r="F1367" t="s">
        <v>2147</v>
      </c>
      <c r="G1367" t="s">
        <v>1737</v>
      </c>
      <c r="H1367" t="s">
        <v>1799</v>
      </c>
      <c r="I1367" t="s">
        <v>1799</v>
      </c>
      <c r="J1367" t="s">
        <v>1799</v>
      </c>
      <c r="K1367" t="s">
        <v>1799</v>
      </c>
      <c r="L1367" t="s">
        <v>1534</v>
      </c>
      <c r="M1367" t="s">
        <v>1799</v>
      </c>
      <c r="N1367" t="s">
        <v>1799</v>
      </c>
      <c r="O1367" s="184" t="str">
        <f>"["&amp;$C1367&amp;"]["&amp;$D1367&amp;"]["&amp;$F1367&amp;"]"</f>
        <v>[S05_CategoryCHighestTierNotApplied][13][TierInPractice]</v>
      </c>
    </row>
    <row r="1368" spans="1:15" x14ac:dyDescent="0.3">
      <c r="A1368" t="s">
        <v>1793</v>
      </c>
      <c r="B1368" t="s">
        <v>2088</v>
      </c>
      <c r="C1368" t="s">
        <v>2089</v>
      </c>
      <c r="D1368">
        <v>14</v>
      </c>
      <c r="E1368" t="s">
        <v>1447</v>
      </c>
      <c r="F1368" t="s">
        <v>2147</v>
      </c>
      <c r="G1368" t="s">
        <v>1737</v>
      </c>
      <c r="H1368" t="s">
        <v>1799</v>
      </c>
      <c r="I1368" t="s">
        <v>1799</v>
      </c>
      <c r="J1368" t="s">
        <v>1799</v>
      </c>
      <c r="K1368" t="s">
        <v>1799</v>
      </c>
      <c r="L1368" t="s">
        <v>1485</v>
      </c>
      <c r="M1368" t="s">
        <v>1799</v>
      </c>
      <c r="N1368" t="s">
        <v>1799</v>
      </c>
      <c r="O1368" s="184" t="str">
        <f>"["&amp;$C1368&amp;"]["&amp;$D1368&amp;"]["&amp;$F1368&amp;"]"</f>
        <v>[S05_CategoryCHighestTierNotApplied][14][TierInPractice]</v>
      </c>
    </row>
    <row r="1369" spans="1:15" x14ac:dyDescent="0.3">
      <c r="A1369" t="s">
        <v>1793</v>
      </c>
      <c r="B1369" t="s">
        <v>2088</v>
      </c>
      <c r="C1369" t="s">
        <v>2089</v>
      </c>
      <c r="D1369">
        <v>15</v>
      </c>
      <c r="E1369" t="s">
        <v>1447</v>
      </c>
      <c r="F1369" t="s">
        <v>2147</v>
      </c>
      <c r="G1369" t="s">
        <v>1737</v>
      </c>
      <c r="H1369" t="s">
        <v>1799</v>
      </c>
      <c r="I1369" t="s">
        <v>1799</v>
      </c>
      <c r="J1369" t="s">
        <v>1799</v>
      </c>
      <c r="K1369" t="s">
        <v>1799</v>
      </c>
      <c r="L1369" t="s">
        <v>1534</v>
      </c>
      <c r="M1369" t="s">
        <v>1799</v>
      </c>
      <c r="N1369" t="s">
        <v>1799</v>
      </c>
      <c r="O1369" s="184" t="str">
        <f>"["&amp;$C1369&amp;"]["&amp;$D1369&amp;"]["&amp;$F1369&amp;"]"</f>
        <v>[S05_CategoryCHighestTierNotApplied][15][TierInPractice]</v>
      </c>
    </row>
    <row r="1370" spans="1:15" x14ac:dyDescent="0.3">
      <c r="A1370" t="s">
        <v>1793</v>
      </c>
      <c r="B1370" t="s">
        <v>2088</v>
      </c>
      <c r="C1370" t="s">
        <v>2089</v>
      </c>
      <c r="D1370">
        <v>16</v>
      </c>
      <c r="E1370" t="s">
        <v>1447</v>
      </c>
      <c r="F1370" t="s">
        <v>2147</v>
      </c>
      <c r="G1370" t="s">
        <v>1737</v>
      </c>
      <c r="H1370" t="s">
        <v>1799</v>
      </c>
      <c r="I1370" t="s">
        <v>1799</v>
      </c>
      <c r="J1370" t="s">
        <v>1799</v>
      </c>
      <c r="K1370" t="s">
        <v>1799</v>
      </c>
      <c r="L1370" t="s">
        <v>1485</v>
      </c>
      <c r="M1370" t="s">
        <v>1799</v>
      </c>
      <c r="N1370" t="s">
        <v>1799</v>
      </c>
      <c r="O1370" s="184" t="str">
        <f>"["&amp;$C1370&amp;"]["&amp;$D1370&amp;"]["&amp;$F1370&amp;"]"</f>
        <v>[S05_CategoryCHighestTierNotApplied][16][TierInPractice]</v>
      </c>
    </row>
    <row r="1371" spans="1:15" x14ac:dyDescent="0.3">
      <c r="A1371" t="s">
        <v>1793</v>
      </c>
      <c r="B1371" t="s">
        <v>2088</v>
      </c>
      <c r="C1371" t="s">
        <v>2089</v>
      </c>
      <c r="D1371">
        <v>17</v>
      </c>
      <c r="E1371" t="s">
        <v>1447</v>
      </c>
      <c r="F1371" t="s">
        <v>2147</v>
      </c>
      <c r="G1371" t="s">
        <v>1737</v>
      </c>
      <c r="H1371" t="s">
        <v>1799</v>
      </c>
      <c r="I1371" t="s">
        <v>1799</v>
      </c>
      <c r="J1371" t="s">
        <v>1799</v>
      </c>
      <c r="K1371" t="s">
        <v>1799</v>
      </c>
      <c r="L1371" t="s">
        <v>1522</v>
      </c>
      <c r="M1371" t="s">
        <v>1799</v>
      </c>
      <c r="N1371" t="s">
        <v>1799</v>
      </c>
      <c r="O1371" s="184" t="str">
        <f>"["&amp;$C1371&amp;"]["&amp;$D1371&amp;"]["&amp;$F1371&amp;"]"</f>
        <v>[S05_CategoryCHighestTierNotApplied][17][TierInPractice]</v>
      </c>
    </row>
    <row r="1372" spans="1:15" x14ac:dyDescent="0.3">
      <c r="A1372" t="s">
        <v>1793</v>
      </c>
      <c r="B1372" t="s">
        <v>2088</v>
      </c>
      <c r="C1372" t="s">
        <v>2089</v>
      </c>
      <c r="D1372">
        <v>18</v>
      </c>
      <c r="E1372" t="s">
        <v>1447</v>
      </c>
      <c r="F1372" t="s">
        <v>2147</v>
      </c>
      <c r="G1372" t="s">
        <v>1737</v>
      </c>
      <c r="H1372" t="s">
        <v>1799</v>
      </c>
      <c r="I1372" t="s">
        <v>1799</v>
      </c>
      <c r="J1372" t="s">
        <v>1799</v>
      </c>
      <c r="K1372" t="s">
        <v>1799</v>
      </c>
      <c r="L1372" t="s">
        <v>1534</v>
      </c>
      <c r="M1372" t="s">
        <v>1799</v>
      </c>
      <c r="N1372" t="s">
        <v>1799</v>
      </c>
      <c r="O1372" s="184" t="str">
        <f>"["&amp;$C1372&amp;"]["&amp;$D1372&amp;"]["&amp;$F1372&amp;"]"</f>
        <v>[S05_CategoryCHighestTierNotApplied][18][TierInPractice]</v>
      </c>
    </row>
    <row r="1373" spans="1:15" x14ac:dyDescent="0.3">
      <c r="A1373" t="s">
        <v>1793</v>
      </c>
      <c r="B1373" t="s">
        <v>2088</v>
      </c>
      <c r="C1373" t="s">
        <v>2089</v>
      </c>
      <c r="D1373">
        <v>19</v>
      </c>
      <c r="E1373" t="s">
        <v>1447</v>
      </c>
      <c r="F1373" t="s">
        <v>2147</v>
      </c>
      <c r="G1373" t="s">
        <v>1737</v>
      </c>
      <c r="H1373" t="s">
        <v>1799</v>
      </c>
      <c r="I1373" t="s">
        <v>1799</v>
      </c>
      <c r="J1373" t="s">
        <v>1799</v>
      </c>
      <c r="K1373" t="s">
        <v>1799</v>
      </c>
      <c r="L1373" t="s">
        <v>1534</v>
      </c>
      <c r="M1373" t="s">
        <v>1799</v>
      </c>
      <c r="N1373" t="s">
        <v>1799</v>
      </c>
      <c r="O1373" s="184" t="str">
        <f>"["&amp;$C1373&amp;"]["&amp;$D1373&amp;"]["&amp;$F1373&amp;"]"</f>
        <v>[S05_CategoryCHighestTierNotApplied][19][TierInPractice]</v>
      </c>
    </row>
    <row r="1374" spans="1:15" x14ac:dyDescent="0.3">
      <c r="A1374" t="s">
        <v>1793</v>
      </c>
      <c r="B1374" t="s">
        <v>2088</v>
      </c>
      <c r="C1374" t="s">
        <v>2089</v>
      </c>
      <c r="D1374">
        <v>20</v>
      </c>
      <c r="E1374" t="s">
        <v>1447</v>
      </c>
      <c r="F1374" t="s">
        <v>2147</v>
      </c>
      <c r="G1374" t="s">
        <v>1737</v>
      </c>
      <c r="H1374" t="s">
        <v>1799</v>
      </c>
      <c r="I1374" t="s">
        <v>1799</v>
      </c>
      <c r="J1374" t="s">
        <v>1799</v>
      </c>
      <c r="K1374" t="s">
        <v>1799</v>
      </c>
      <c r="L1374" t="s">
        <v>1534</v>
      </c>
      <c r="M1374" t="s">
        <v>1799</v>
      </c>
      <c r="N1374" t="s">
        <v>1799</v>
      </c>
      <c r="O1374" s="184" t="str">
        <f>"["&amp;$C1374&amp;"]["&amp;$D1374&amp;"]["&amp;$F1374&amp;"]"</f>
        <v>[S05_CategoryCHighestTierNotApplied][20][TierInPractice]</v>
      </c>
    </row>
    <row r="1375" spans="1:15" x14ac:dyDescent="0.3">
      <c r="A1375" t="s">
        <v>1793</v>
      </c>
      <c r="B1375" t="s">
        <v>2088</v>
      </c>
      <c r="C1375" t="s">
        <v>2089</v>
      </c>
      <c r="D1375">
        <v>21</v>
      </c>
      <c r="E1375" t="s">
        <v>1447</v>
      </c>
      <c r="F1375" t="s">
        <v>2147</v>
      </c>
      <c r="G1375" t="s">
        <v>1737</v>
      </c>
      <c r="H1375" t="s">
        <v>1799</v>
      </c>
      <c r="I1375" t="s">
        <v>1799</v>
      </c>
      <c r="J1375" t="s">
        <v>1799</v>
      </c>
      <c r="K1375" t="s">
        <v>1799</v>
      </c>
      <c r="L1375" t="s">
        <v>1457</v>
      </c>
      <c r="M1375" t="s">
        <v>1799</v>
      </c>
      <c r="N1375" t="s">
        <v>1799</v>
      </c>
      <c r="O1375" s="184" t="str">
        <f>"["&amp;$C1375&amp;"]["&amp;$D1375&amp;"]["&amp;$F1375&amp;"]"</f>
        <v>[S05_CategoryCHighestTierNotApplied][21][TierInPractice]</v>
      </c>
    </row>
    <row r="1376" spans="1:15" x14ac:dyDescent="0.3">
      <c r="A1376" t="s">
        <v>1793</v>
      </c>
      <c r="B1376" t="s">
        <v>2088</v>
      </c>
      <c r="C1376" t="s">
        <v>2089</v>
      </c>
      <c r="D1376">
        <v>22</v>
      </c>
      <c r="E1376" t="s">
        <v>1447</v>
      </c>
      <c r="F1376" t="s">
        <v>2147</v>
      </c>
      <c r="G1376" t="s">
        <v>1737</v>
      </c>
      <c r="H1376" t="s">
        <v>1799</v>
      </c>
      <c r="I1376" t="s">
        <v>1799</v>
      </c>
      <c r="J1376" t="s">
        <v>1799</v>
      </c>
      <c r="K1376" t="s">
        <v>1799</v>
      </c>
      <c r="L1376" t="s">
        <v>1522</v>
      </c>
      <c r="M1376" t="s">
        <v>1799</v>
      </c>
      <c r="N1376" t="s">
        <v>1799</v>
      </c>
      <c r="O1376" s="184" t="str">
        <f>"["&amp;$C1376&amp;"]["&amp;$D1376&amp;"]["&amp;$F1376&amp;"]"</f>
        <v>[S05_CategoryCHighestTierNotApplied][22][TierInPractice]</v>
      </c>
    </row>
    <row r="1377" spans="1:15" x14ac:dyDescent="0.3">
      <c r="A1377" t="s">
        <v>1793</v>
      </c>
      <c r="B1377" t="s">
        <v>2088</v>
      </c>
      <c r="C1377" t="s">
        <v>2089</v>
      </c>
      <c r="D1377">
        <v>23</v>
      </c>
      <c r="E1377" t="s">
        <v>1447</v>
      </c>
      <c r="F1377" t="s">
        <v>2147</v>
      </c>
      <c r="G1377" t="s">
        <v>1737</v>
      </c>
      <c r="H1377" t="s">
        <v>1799</v>
      </c>
      <c r="I1377" t="s">
        <v>1799</v>
      </c>
      <c r="J1377" t="s">
        <v>1799</v>
      </c>
      <c r="K1377" t="s">
        <v>1799</v>
      </c>
      <c r="L1377" t="s">
        <v>1522</v>
      </c>
      <c r="M1377" t="s">
        <v>1799</v>
      </c>
      <c r="N1377" t="s">
        <v>1799</v>
      </c>
      <c r="O1377" s="184" t="str">
        <f>"["&amp;$C1377&amp;"]["&amp;$D1377&amp;"]["&amp;$F1377&amp;"]"</f>
        <v>[S05_CategoryCHighestTierNotApplied][23][TierInPractice]</v>
      </c>
    </row>
    <row r="1378" spans="1:15" x14ac:dyDescent="0.3">
      <c r="A1378" t="s">
        <v>1793</v>
      </c>
      <c r="B1378" t="s">
        <v>2088</v>
      </c>
      <c r="C1378" t="s">
        <v>2089</v>
      </c>
      <c r="D1378">
        <v>24</v>
      </c>
      <c r="E1378" t="s">
        <v>1447</v>
      </c>
      <c r="F1378" t="s">
        <v>2147</v>
      </c>
      <c r="G1378" t="s">
        <v>1737</v>
      </c>
      <c r="H1378" t="s">
        <v>1799</v>
      </c>
      <c r="I1378" t="s">
        <v>1799</v>
      </c>
      <c r="J1378" t="s">
        <v>1799</v>
      </c>
      <c r="K1378" t="s">
        <v>1799</v>
      </c>
      <c r="L1378" t="s">
        <v>1522</v>
      </c>
      <c r="M1378" t="s">
        <v>1799</v>
      </c>
      <c r="N1378" t="s">
        <v>1799</v>
      </c>
      <c r="O1378" s="184" t="str">
        <f>"["&amp;$C1378&amp;"]["&amp;$D1378&amp;"]["&amp;$F1378&amp;"]"</f>
        <v>[S05_CategoryCHighestTierNotApplied][24][TierInPractice]</v>
      </c>
    </row>
    <row r="1379" spans="1:15" x14ac:dyDescent="0.3">
      <c r="A1379" t="s">
        <v>1793</v>
      </c>
      <c r="B1379" t="s">
        <v>2088</v>
      </c>
      <c r="C1379" t="s">
        <v>2089</v>
      </c>
      <c r="D1379">
        <v>25</v>
      </c>
      <c r="E1379" t="s">
        <v>1447</v>
      </c>
      <c r="F1379" t="s">
        <v>2147</v>
      </c>
      <c r="G1379" t="s">
        <v>1737</v>
      </c>
      <c r="H1379" t="s">
        <v>1799</v>
      </c>
      <c r="I1379" t="s">
        <v>1799</v>
      </c>
      <c r="J1379" t="s">
        <v>1799</v>
      </c>
      <c r="K1379" t="s">
        <v>1799</v>
      </c>
      <c r="L1379" t="s">
        <v>1485</v>
      </c>
      <c r="M1379" t="s">
        <v>1799</v>
      </c>
      <c r="N1379" t="s">
        <v>1799</v>
      </c>
      <c r="O1379" s="184" t="str">
        <f>"["&amp;$C1379&amp;"]["&amp;$D1379&amp;"]["&amp;$F1379&amp;"]"</f>
        <v>[S05_CategoryCHighestTierNotApplied][25][TierInPractice]</v>
      </c>
    </row>
    <row r="1380" spans="1:15" x14ac:dyDescent="0.3">
      <c r="A1380" t="s">
        <v>1793</v>
      </c>
      <c r="B1380" t="s">
        <v>2088</v>
      </c>
      <c r="C1380" t="s">
        <v>2089</v>
      </c>
      <c r="D1380">
        <v>26</v>
      </c>
      <c r="E1380" t="s">
        <v>1447</v>
      </c>
      <c r="F1380" t="s">
        <v>2147</v>
      </c>
      <c r="G1380" t="s">
        <v>1737</v>
      </c>
      <c r="H1380" t="s">
        <v>1799</v>
      </c>
      <c r="I1380" t="s">
        <v>1799</v>
      </c>
      <c r="J1380" t="s">
        <v>1799</v>
      </c>
      <c r="K1380" t="s">
        <v>1799</v>
      </c>
      <c r="L1380" t="s">
        <v>1485</v>
      </c>
      <c r="M1380" t="s">
        <v>1799</v>
      </c>
      <c r="N1380" t="s">
        <v>1799</v>
      </c>
      <c r="O1380" s="184" t="str">
        <f>"["&amp;$C1380&amp;"]["&amp;$D1380&amp;"]["&amp;$F1380&amp;"]"</f>
        <v>[S05_CategoryCHighestTierNotApplied][26][TierInPractice]</v>
      </c>
    </row>
    <row r="1381" spans="1:15" x14ac:dyDescent="0.3">
      <c r="A1381" t="s">
        <v>1793</v>
      </c>
      <c r="B1381" t="s">
        <v>2088</v>
      </c>
      <c r="C1381" t="s">
        <v>2089</v>
      </c>
      <c r="D1381">
        <v>27</v>
      </c>
      <c r="E1381" t="s">
        <v>1447</v>
      </c>
      <c r="F1381" t="s">
        <v>2147</v>
      </c>
      <c r="G1381" t="s">
        <v>1737</v>
      </c>
      <c r="H1381" t="s">
        <v>1799</v>
      </c>
      <c r="I1381" t="s">
        <v>1799</v>
      </c>
      <c r="J1381" t="s">
        <v>1799</v>
      </c>
      <c r="K1381" t="s">
        <v>1799</v>
      </c>
      <c r="L1381" t="s">
        <v>1534</v>
      </c>
      <c r="M1381" t="s">
        <v>1799</v>
      </c>
      <c r="N1381" t="s">
        <v>1799</v>
      </c>
      <c r="O1381" s="184" t="str">
        <f>"["&amp;$C1381&amp;"]["&amp;$D1381&amp;"]["&amp;$F1381&amp;"]"</f>
        <v>[S05_CategoryCHighestTierNotApplied][27][TierInPractice]</v>
      </c>
    </row>
    <row r="1382" spans="1:15" x14ac:dyDescent="0.3">
      <c r="A1382" t="s">
        <v>1793</v>
      </c>
      <c r="B1382" t="s">
        <v>2088</v>
      </c>
      <c r="C1382" t="s">
        <v>2089</v>
      </c>
      <c r="D1382">
        <v>28</v>
      </c>
      <c r="E1382" t="s">
        <v>1447</v>
      </c>
      <c r="F1382" t="s">
        <v>2147</v>
      </c>
      <c r="G1382" t="s">
        <v>1737</v>
      </c>
      <c r="H1382" t="s">
        <v>1799</v>
      </c>
      <c r="I1382" t="s">
        <v>1799</v>
      </c>
      <c r="J1382" t="s">
        <v>1799</v>
      </c>
      <c r="K1382" t="s">
        <v>1799</v>
      </c>
      <c r="L1382" t="s">
        <v>1534</v>
      </c>
      <c r="M1382" t="s">
        <v>1799</v>
      </c>
      <c r="N1382" t="s">
        <v>1799</v>
      </c>
      <c r="O1382" s="184" t="str">
        <f>"["&amp;$C1382&amp;"]["&amp;$D1382&amp;"]["&amp;$F1382&amp;"]"</f>
        <v>[S05_CategoryCHighestTierNotApplied][28][TierInPractice]</v>
      </c>
    </row>
    <row r="1383" spans="1:15" x14ac:dyDescent="0.3">
      <c r="A1383" t="s">
        <v>1793</v>
      </c>
      <c r="B1383" t="s">
        <v>2088</v>
      </c>
      <c r="C1383" t="s">
        <v>2089</v>
      </c>
      <c r="D1383">
        <v>29</v>
      </c>
      <c r="E1383" t="s">
        <v>1447</v>
      </c>
      <c r="F1383" t="s">
        <v>2147</v>
      </c>
      <c r="G1383" t="s">
        <v>1737</v>
      </c>
      <c r="H1383" t="s">
        <v>1799</v>
      </c>
      <c r="I1383" t="s">
        <v>1799</v>
      </c>
      <c r="J1383" t="s">
        <v>1799</v>
      </c>
      <c r="K1383" t="s">
        <v>1799</v>
      </c>
      <c r="L1383" t="s">
        <v>1457</v>
      </c>
      <c r="M1383" t="s">
        <v>1799</v>
      </c>
      <c r="N1383" t="s">
        <v>1799</v>
      </c>
      <c r="O1383" s="184" t="str">
        <f>"["&amp;$C1383&amp;"]["&amp;$D1383&amp;"]["&amp;$F1383&amp;"]"</f>
        <v>[S05_CategoryCHighestTierNotApplied][29][TierInPractice]</v>
      </c>
    </row>
    <row r="1384" spans="1:15" x14ac:dyDescent="0.3">
      <c r="A1384" t="s">
        <v>1793</v>
      </c>
      <c r="B1384" t="s">
        <v>2088</v>
      </c>
      <c r="C1384" t="s">
        <v>2089</v>
      </c>
      <c r="D1384">
        <v>30</v>
      </c>
      <c r="E1384" t="s">
        <v>1447</v>
      </c>
      <c r="F1384" t="s">
        <v>2147</v>
      </c>
      <c r="G1384" t="s">
        <v>1737</v>
      </c>
      <c r="H1384" t="s">
        <v>1799</v>
      </c>
      <c r="I1384" t="s">
        <v>1799</v>
      </c>
      <c r="J1384" t="s">
        <v>1799</v>
      </c>
      <c r="K1384" t="s">
        <v>1799</v>
      </c>
      <c r="L1384" t="s">
        <v>1507</v>
      </c>
      <c r="M1384" t="s">
        <v>1799</v>
      </c>
      <c r="N1384" t="s">
        <v>1799</v>
      </c>
      <c r="O1384" s="184" t="str">
        <f>"["&amp;$C1384&amp;"]["&amp;$D1384&amp;"]["&amp;$F1384&amp;"]"</f>
        <v>[S05_CategoryCHighestTierNotApplied][30][TierInPractice]</v>
      </c>
    </row>
    <row r="1385" spans="1:15" x14ac:dyDescent="0.3">
      <c r="A1385" t="s">
        <v>1793</v>
      </c>
      <c r="B1385" t="s">
        <v>2088</v>
      </c>
      <c r="C1385" t="s">
        <v>2089</v>
      </c>
      <c r="D1385">
        <v>31</v>
      </c>
      <c r="E1385" t="s">
        <v>1447</v>
      </c>
      <c r="F1385" t="s">
        <v>2147</v>
      </c>
      <c r="G1385" t="s">
        <v>1737</v>
      </c>
      <c r="H1385" t="s">
        <v>1799</v>
      </c>
      <c r="I1385" t="s">
        <v>1799</v>
      </c>
      <c r="J1385" t="s">
        <v>1799</v>
      </c>
      <c r="K1385" t="s">
        <v>1799</v>
      </c>
      <c r="L1385" t="s">
        <v>1507</v>
      </c>
      <c r="M1385" t="s">
        <v>1799</v>
      </c>
      <c r="N1385" t="s">
        <v>1799</v>
      </c>
      <c r="O1385" s="184" t="str">
        <f>"["&amp;$C1385&amp;"]["&amp;$D1385&amp;"]["&amp;$F1385&amp;"]"</f>
        <v>[S05_CategoryCHighestTierNotApplied][31][TierInPractice]</v>
      </c>
    </row>
    <row r="1386" spans="1:15" x14ac:dyDescent="0.3">
      <c r="A1386" t="s">
        <v>1793</v>
      </c>
      <c r="B1386" t="s">
        <v>2088</v>
      </c>
      <c r="C1386" t="s">
        <v>2089</v>
      </c>
      <c r="D1386">
        <v>32</v>
      </c>
      <c r="E1386" t="s">
        <v>1447</v>
      </c>
      <c r="F1386" t="s">
        <v>2147</v>
      </c>
      <c r="G1386" t="s">
        <v>1737</v>
      </c>
      <c r="H1386" t="s">
        <v>1799</v>
      </c>
      <c r="I1386" t="s">
        <v>1799</v>
      </c>
      <c r="J1386" t="s">
        <v>1799</v>
      </c>
      <c r="K1386" t="s">
        <v>1799</v>
      </c>
      <c r="L1386" t="s">
        <v>1534</v>
      </c>
      <c r="M1386" t="s">
        <v>1799</v>
      </c>
      <c r="N1386" t="s">
        <v>1799</v>
      </c>
      <c r="O1386" s="184" t="str">
        <f>"["&amp;$C1386&amp;"]["&amp;$D1386&amp;"]["&amp;$F1386&amp;"]"</f>
        <v>[S05_CategoryCHighestTierNotApplied][32][TierInPractice]</v>
      </c>
    </row>
    <row r="1387" spans="1:15" x14ac:dyDescent="0.3">
      <c r="A1387" t="s">
        <v>1793</v>
      </c>
      <c r="B1387" t="s">
        <v>2088</v>
      </c>
      <c r="C1387" t="s">
        <v>2089</v>
      </c>
      <c r="D1387">
        <v>33</v>
      </c>
      <c r="E1387" t="s">
        <v>1447</v>
      </c>
      <c r="F1387" t="s">
        <v>2147</v>
      </c>
      <c r="G1387" t="s">
        <v>1737</v>
      </c>
      <c r="H1387" t="s">
        <v>1799</v>
      </c>
      <c r="I1387" t="s">
        <v>1799</v>
      </c>
      <c r="J1387" t="s">
        <v>1799</v>
      </c>
      <c r="K1387" t="s">
        <v>1799</v>
      </c>
      <c r="L1387" t="s">
        <v>1534</v>
      </c>
      <c r="M1387" t="s">
        <v>1799</v>
      </c>
      <c r="N1387" t="s">
        <v>1799</v>
      </c>
      <c r="O1387" s="184" t="str">
        <f>"["&amp;$C1387&amp;"]["&amp;$D1387&amp;"]["&amp;$F1387&amp;"]"</f>
        <v>[S05_CategoryCHighestTierNotApplied][33][TierInPractice]</v>
      </c>
    </row>
    <row r="1388" spans="1:15" x14ac:dyDescent="0.3">
      <c r="A1388" t="s">
        <v>1793</v>
      </c>
      <c r="B1388" t="s">
        <v>2088</v>
      </c>
      <c r="C1388" t="s">
        <v>2089</v>
      </c>
      <c r="D1388">
        <v>34</v>
      </c>
      <c r="E1388" t="s">
        <v>1447</v>
      </c>
      <c r="F1388" t="s">
        <v>2147</v>
      </c>
      <c r="G1388" t="s">
        <v>1737</v>
      </c>
      <c r="H1388" t="s">
        <v>1799</v>
      </c>
      <c r="I1388" t="s">
        <v>1799</v>
      </c>
      <c r="J1388" t="s">
        <v>1799</v>
      </c>
      <c r="K1388" t="s">
        <v>1799</v>
      </c>
      <c r="L1388" t="s">
        <v>1534</v>
      </c>
      <c r="M1388" t="s">
        <v>1799</v>
      </c>
      <c r="N1388" t="s">
        <v>1799</v>
      </c>
      <c r="O1388" s="184" t="str">
        <f>"["&amp;$C1388&amp;"]["&amp;$D1388&amp;"]["&amp;$F1388&amp;"]"</f>
        <v>[S05_CategoryCHighestTierNotApplied][34][TierInPractice]</v>
      </c>
    </row>
    <row r="1389" spans="1:15" x14ac:dyDescent="0.3">
      <c r="A1389" t="s">
        <v>1793</v>
      </c>
      <c r="B1389" t="s">
        <v>2088</v>
      </c>
      <c r="C1389" t="s">
        <v>2089</v>
      </c>
      <c r="D1389">
        <v>35</v>
      </c>
      <c r="E1389" t="s">
        <v>1447</v>
      </c>
      <c r="F1389" t="s">
        <v>2147</v>
      </c>
      <c r="G1389" t="s">
        <v>1737</v>
      </c>
      <c r="H1389" t="s">
        <v>1799</v>
      </c>
      <c r="I1389" t="s">
        <v>1799</v>
      </c>
      <c r="J1389" t="s">
        <v>1799</v>
      </c>
      <c r="K1389" t="s">
        <v>1799</v>
      </c>
      <c r="L1389" t="s">
        <v>1534</v>
      </c>
      <c r="M1389" t="s">
        <v>1799</v>
      </c>
      <c r="N1389" t="s">
        <v>1799</v>
      </c>
      <c r="O1389" s="184" t="str">
        <f>"["&amp;$C1389&amp;"]["&amp;$D1389&amp;"]["&amp;$F1389&amp;"]"</f>
        <v>[S05_CategoryCHighestTierNotApplied][35][TierInPractice]</v>
      </c>
    </row>
    <row r="1390" spans="1:15" x14ac:dyDescent="0.3">
      <c r="A1390" t="s">
        <v>1793</v>
      </c>
      <c r="B1390" t="s">
        <v>2088</v>
      </c>
      <c r="C1390" t="s">
        <v>2089</v>
      </c>
      <c r="D1390">
        <v>36</v>
      </c>
      <c r="E1390" t="s">
        <v>1447</v>
      </c>
      <c r="F1390" t="s">
        <v>2147</v>
      </c>
      <c r="G1390" t="s">
        <v>1737</v>
      </c>
      <c r="H1390" t="s">
        <v>1799</v>
      </c>
      <c r="I1390" t="s">
        <v>1799</v>
      </c>
      <c r="J1390" t="s">
        <v>1799</v>
      </c>
      <c r="K1390" t="s">
        <v>1799</v>
      </c>
      <c r="L1390" t="s">
        <v>1534</v>
      </c>
      <c r="M1390" t="s">
        <v>1799</v>
      </c>
      <c r="N1390" t="s">
        <v>1799</v>
      </c>
      <c r="O1390" s="184" t="str">
        <f>"["&amp;$C1390&amp;"]["&amp;$D1390&amp;"]["&amp;$F1390&amp;"]"</f>
        <v>[S05_CategoryCHighestTierNotApplied][36][TierInPractice]</v>
      </c>
    </row>
    <row r="1391" spans="1:15" x14ac:dyDescent="0.3">
      <c r="A1391" t="s">
        <v>1793</v>
      </c>
      <c r="B1391" t="s">
        <v>2088</v>
      </c>
      <c r="C1391" t="s">
        <v>2089</v>
      </c>
      <c r="D1391">
        <v>37</v>
      </c>
      <c r="E1391" t="s">
        <v>1447</v>
      </c>
      <c r="F1391" t="s">
        <v>2147</v>
      </c>
      <c r="G1391" t="s">
        <v>1737</v>
      </c>
      <c r="H1391" t="s">
        <v>1799</v>
      </c>
      <c r="I1391" t="s">
        <v>1799</v>
      </c>
      <c r="J1391" t="s">
        <v>1799</v>
      </c>
      <c r="K1391" t="s">
        <v>1799</v>
      </c>
      <c r="L1391" t="s">
        <v>1534</v>
      </c>
      <c r="M1391" t="s">
        <v>1799</v>
      </c>
      <c r="N1391" t="s">
        <v>1799</v>
      </c>
      <c r="O1391" s="184" t="str">
        <f>"["&amp;$C1391&amp;"]["&amp;$D1391&amp;"]["&amp;$F1391&amp;"]"</f>
        <v>[S05_CategoryCHighestTierNotApplied][37][TierInPractice]</v>
      </c>
    </row>
    <row r="1392" spans="1:15" x14ac:dyDescent="0.3">
      <c r="A1392" t="s">
        <v>1793</v>
      </c>
      <c r="B1392" t="s">
        <v>2088</v>
      </c>
      <c r="C1392" t="s">
        <v>2089</v>
      </c>
      <c r="D1392">
        <v>38</v>
      </c>
      <c r="E1392" t="s">
        <v>1447</v>
      </c>
      <c r="F1392" t="s">
        <v>2147</v>
      </c>
      <c r="G1392" t="s">
        <v>1737</v>
      </c>
      <c r="H1392" t="s">
        <v>1799</v>
      </c>
      <c r="I1392" t="s">
        <v>1799</v>
      </c>
      <c r="J1392" t="s">
        <v>1799</v>
      </c>
      <c r="K1392" t="s">
        <v>1799</v>
      </c>
      <c r="L1392" t="s">
        <v>1534</v>
      </c>
      <c r="M1392" t="s">
        <v>1799</v>
      </c>
      <c r="N1392" t="s">
        <v>1799</v>
      </c>
      <c r="O1392" s="184" t="str">
        <f>"["&amp;$C1392&amp;"]["&amp;$D1392&amp;"]["&amp;$F1392&amp;"]"</f>
        <v>[S05_CategoryCHighestTierNotApplied][38][TierInPractice]</v>
      </c>
    </row>
    <row r="1393" spans="1:15" x14ac:dyDescent="0.3">
      <c r="A1393" t="s">
        <v>1793</v>
      </c>
      <c r="B1393" t="s">
        <v>2088</v>
      </c>
      <c r="C1393" t="s">
        <v>2089</v>
      </c>
      <c r="D1393">
        <v>39</v>
      </c>
      <c r="E1393" t="s">
        <v>1447</v>
      </c>
      <c r="F1393" t="s">
        <v>2147</v>
      </c>
      <c r="G1393" t="s">
        <v>1737</v>
      </c>
      <c r="H1393" t="s">
        <v>1799</v>
      </c>
      <c r="I1393" t="s">
        <v>1799</v>
      </c>
      <c r="J1393" t="s">
        <v>1799</v>
      </c>
      <c r="K1393" t="s">
        <v>1799</v>
      </c>
      <c r="L1393" t="s">
        <v>1457</v>
      </c>
      <c r="M1393" t="s">
        <v>1799</v>
      </c>
      <c r="N1393" t="s">
        <v>1799</v>
      </c>
      <c r="O1393" s="184" t="str">
        <f>"["&amp;$C1393&amp;"]["&amp;$D1393&amp;"]["&amp;$F1393&amp;"]"</f>
        <v>[S05_CategoryCHighestTierNotApplied][39][TierInPractice]</v>
      </c>
    </row>
    <row r="1394" spans="1:15" x14ac:dyDescent="0.3">
      <c r="A1394" t="s">
        <v>1793</v>
      </c>
      <c r="B1394" t="s">
        <v>2088</v>
      </c>
      <c r="C1394" t="s">
        <v>2089</v>
      </c>
      <c r="D1394">
        <v>40</v>
      </c>
      <c r="E1394" t="s">
        <v>1447</v>
      </c>
      <c r="F1394" t="s">
        <v>2147</v>
      </c>
      <c r="G1394" t="s">
        <v>1737</v>
      </c>
      <c r="H1394" t="s">
        <v>1799</v>
      </c>
      <c r="I1394" t="s">
        <v>1799</v>
      </c>
      <c r="J1394" t="s">
        <v>1799</v>
      </c>
      <c r="K1394" t="s">
        <v>1799</v>
      </c>
      <c r="L1394" t="s">
        <v>1534</v>
      </c>
      <c r="M1394" t="s">
        <v>1799</v>
      </c>
      <c r="N1394" t="s">
        <v>1799</v>
      </c>
      <c r="O1394" s="184" t="str">
        <f>"["&amp;$C1394&amp;"]["&amp;$D1394&amp;"]["&amp;$F1394&amp;"]"</f>
        <v>[S05_CategoryCHighestTierNotApplied][40][TierInPractice]</v>
      </c>
    </row>
    <row r="1395" spans="1:15" x14ac:dyDescent="0.3">
      <c r="A1395" t="s">
        <v>1793</v>
      </c>
      <c r="B1395" t="s">
        <v>2088</v>
      </c>
      <c r="C1395" t="s">
        <v>2089</v>
      </c>
      <c r="D1395">
        <v>41</v>
      </c>
      <c r="E1395" t="s">
        <v>1447</v>
      </c>
      <c r="F1395" t="s">
        <v>2147</v>
      </c>
      <c r="G1395" t="s">
        <v>1737</v>
      </c>
      <c r="H1395" t="s">
        <v>1799</v>
      </c>
      <c r="I1395" t="s">
        <v>1799</v>
      </c>
      <c r="J1395" t="s">
        <v>1799</v>
      </c>
      <c r="K1395" t="s">
        <v>1799</v>
      </c>
      <c r="L1395" t="s">
        <v>1534</v>
      </c>
      <c r="M1395" t="s">
        <v>1799</v>
      </c>
      <c r="N1395" t="s">
        <v>1799</v>
      </c>
      <c r="O1395" s="184" t="str">
        <f>"["&amp;$C1395&amp;"]["&amp;$D1395&amp;"]["&amp;$F1395&amp;"]"</f>
        <v>[S05_CategoryCHighestTierNotApplied][41][TierInPractice]</v>
      </c>
    </row>
    <row r="1396" spans="1:15" x14ac:dyDescent="0.3">
      <c r="A1396" t="s">
        <v>1793</v>
      </c>
      <c r="B1396" t="s">
        <v>2148</v>
      </c>
      <c r="C1396" t="s">
        <v>2149</v>
      </c>
      <c r="D1396">
        <v>1</v>
      </c>
      <c r="E1396" t="s">
        <v>1447</v>
      </c>
      <c r="F1396" t="s">
        <v>2150</v>
      </c>
      <c r="G1396" t="s">
        <v>1737</v>
      </c>
      <c r="H1396" t="s">
        <v>1799</v>
      </c>
      <c r="I1396" t="s">
        <v>1799</v>
      </c>
      <c r="J1396" t="s">
        <v>1799</v>
      </c>
      <c r="K1396" t="s">
        <v>1799</v>
      </c>
      <c r="L1396" t="s">
        <v>1430</v>
      </c>
      <c r="M1396" t="s">
        <v>1799</v>
      </c>
      <c r="N1396" t="s">
        <v>1799</v>
      </c>
      <c r="O1396" s="184" t="str">
        <f>"["&amp;$C1396&amp;"]["&amp;$D1396&amp;"]["&amp;$F1396&amp;"]"</f>
        <v>[S05_CategoryBHighestTierNotApplied][1][MonitoringMethodology]</v>
      </c>
    </row>
    <row r="1397" spans="1:15" x14ac:dyDescent="0.3">
      <c r="A1397" t="s">
        <v>1793</v>
      </c>
      <c r="B1397" t="s">
        <v>2148</v>
      </c>
      <c r="C1397" t="s">
        <v>2149</v>
      </c>
      <c r="D1397">
        <v>2</v>
      </c>
      <c r="E1397" t="s">
        <v>1447</v>
      </c>
      <c r="F1397" t="s">
        <v>2150</v>
      </c>
      <c r="G1397" t="s">
        <v>1737</v>
      </c>
      <c r="H1397" t="s">
        <v>1799</v>
      </c>
      <c r="I1397" t="s">
        <v>1799</v>
      </c>
      <c r="J1397" t="s">
        <v>1799</v>
      </c>
      <c r="K1397" t="s">
        <v>1799</v>
      </c>
      <c r="L1397" t="s">
        <v>1430</v>
      </c>
      <c r="M1397" t="s">
        <v>1799</v>
      </c>
      <c r="N1397" t="s">
        <v>1799</v>
      </c>
      <c r="O1397" s="184" t="str">
        <f>"["&amp;$C1397&amp;"]["&amp;$D1397&amp;"]["&amp;$F1397&amp;"]"</f>
        <v>[S05_CategoryBHighestTierNotApplied][2][MonitoringMethodology]</v>
      </c>
    </row>
    <row r="1398" spans="1:15" x14ac:dyDescent="0.3">
      <c r="A1398" t="s">
        <v>1793</v>
      </c>
      <c r="B1398" t="s">
        <v>2148</v>
      </c>
      <c r="C1398" t="s">
        <v>2149</v>
      </c>
      <c r="D1398">
        <v>3</v>
      </c>
      <c r="E1398" t="s">
        <v>1447</v>
      </c>
      <c r="F1398" t="s">
        <v>2150</v>
      </c>
      <c r="G1398" t="s">
        <v>1737</v>
      </c>
      <c r="H1398" t="s">
        <v>1799</v>
      </c>
      <c r="I1398" t="s">
        <v>1799</v>
      </c>
      <c r="J1398" t="s">
        <v>1799</v>
      </c>
      <c r="K1398" t="s">
        <v>1799</v>
      </c>
      <c r="L1398" t="s">
        <v>1430</v>
      </c>
      <c r="M1398" t="s">
        <v>1799</v>
      </c>
      <c r="N1398" t="s">
        <v>1799</v>
      </c>
      <c r="O1398" s="184" t="str">
        <f>"["&amp;$C1398&amp;"]["&amp;$D1398&amp;"]["&amp;$F1398&amp;"]"</f>
        <v>[S05_CategoryBHighestTierNotApplied][3][MonitoringMethodology]</v>
      </c>
    </row>
    <row r="1399" spans="1:15" x14ac:dyDescent="0.3">
      <c r="A1399" t="s">
        <v>1793</v>
      </c>
      <c r="B1399" t="s">
        <v>2148</v>
      </c>
      <c r="C1399" t="s">
        <v>2149</v>
      </c>
      <c r="D1399">
        <v>4</v>
      </c>
      <c r="E1399" t="s">
        <v>1447</v>
      </c>
      <c r="F1399" t="s">
        <v>2150</v>
      </c>
      <c r="G1399" t="s">
        <v>1737</v>
      </c>
      <c r="H1399" t="s">
        <v>1799</v>
      </c>
      <c r="I1399" t="s">
        <v>1799</v>
      </c>
      <c r="J1399" t="s">
        <v>1799</v>
      </c>
      <c r="K1399" t="s">
        <v>1799</v>
      </c>
      <c r="L1399" t="s">
        <v>1430</v>
      </c>
      <c r="M1399" t="s">
        <v>1799</v>
      </c>
      <c r="N1399" t="s">
        <v>1799</v>
      </c>
      <c r="O1399" s="184" t="str">
        <f>"["&amp;$C1399&amp;"]["&amp;$D1399&amp;"]["&amp;$F1399&amp;"]"</f>
        <v>[S05_CategoryBHighestTierNotApplied][4][MonitoringMethodology]</v>
      </c>
    </row>
    <row r="1400" spans="1:15" x14ac:dyDescent="0.3">
      <c r="A1400" t="s">
        <v>1793</v>
      </c>
      <c r="B1400" t="s">
        <v>2148</v>
      </c>
      <c r="C1400" t="s">
        <v>2149</v>
      </c>
      <c r="D1400">
        <v>5</v>
      </c>
      <c r="E1400" t="s">
        <v>1447</v>
      </c>
      <c r="F1400" t="s">
        <v>2150</v>
      </c>
      <c r="G1400" t="s">
        <v>1737</v>
      </c>
      <c r="H1400" t="s">
        <v>1799</v>
      </c>
      <c r="I1400" t="s">
        <v>1799</v>
      </c>
      <c r="J1400" t="s">
        <v>1799</v>
      </c>
      <c r="K1400" t="s">
        <v>1799</v>
      </c>
      <c r="L1400" t="s">
        <v>1430</v>
      </c>
      <c r="M1400" t="s">
        <v>1799</v>
      </c>
      <c r="N1400" t="s">
        <v>1799</v>
      </c>
      <c r="O1400" s="184" t="str">
        <f>"["&amp;$C1400&amp;"]["&amp;$D1400&amp;"]["&amp;$F1400&amp;"]"</f>
        <v>[S05_CategoryBHighestTierNotApplied][5][MonitoringMethodology]</v>
      </c>
    </row>
    <row r="1401" spans="1:15" x14ac:dyDescent="0.3">
      <c r="A1401" t="s">
        <v>1793</v>
      </c>
      <c r="B1401" t="s">
        <v>2148</v>
      </c>
      <c r="C1401" t="s">
        <v>2149</v>
      </c>
      <c r="D1401">
        <v>6</v>
      </c>
      <c r="E1401" t="s">
        <v>1447</v>
      </c>
      <c r="F1401" t="s">
        <v>2150</v>
      </c>
      <c r="G1401" t="s">
        <v>1737</v>
      </c>
      <c r="H1401" t="s">
        <v>1799</v>
      </c>
      <c r="I1401" t="s">
        <v>1799</v>
      </c>
      <c r="J1401" t="s">
        <v>1799</v>
      </c>
      <c r="K1401" t="s">
        <v>1799</v>
      </c>
      <c r="L1401" t="s">
        <v>1430</v>
      </c>
      <c r="M1401" t="s">
        <v>1799</v>
      </c>
      <c r="N1401" t="s">
        <v>1799</v>
      </c>
      <c r="O1401" s="184" t="str">
        <f>"["&amp;$C1401&amp;"]["&amp;$D1401&amp;"]["&amp;$F1401&amp;"]"</f>
        <v>[S05_CategoryBHighestTierNotApplied][6][MonitoringMethodology]</v>
      </c>
    </row>
    <row r="1402" spans="1:15" x14ac:dyDescent="0.3">
      <c r="A1402" t="s">
        <v>1793</v>
      </c>
      <c r="B1402" t="s">
        <v>2148</v>
      </c>
      <c r="C1402" t="s">
        <v>2149</v>
      </c>
      <c r="D1402">
        <v>7</v>
      </c>
      <c r="E1402" t="s">
        <v>1447</v>
      </c>
      <c r="F1402" t="s">
        <v>2150</v>
      </c>
      <c r="G1402" t="s">
        <v>1737</v>
      </c>
      <c r="H1402" t="s">
        <v>1799</v>
      </c>
      <c r="I1402" t="s">
        <v>1799</v>
      </c>
      <c r="J1402" t="s">
        <v>1799</v>
      </c>
      <c r="K1402" t="s">
        <v>1799</v>
      </c>
      <c r="L1402" t="s">
        <v>1430</v>
      </c>
      <c r="M1402" t="s">
        <v>1799</v>
      </c>
      <c r="N1402" t="s">
        <v>1799</v>
      </c>
      <c r="O1402" s="184" t="str">
        <f>"["&amp;$C1402&amp;"]["&amp;$D1402&amp;"]["&amp;$F1402&amp;"]"</f>
        <v>[S05_CategoryBHighestTierNotApplied][7][MonitoringMethodology]</v>
      </c>
    </row>
    <row r="1403" spans="1:15" x14ac:dyDescent="0.3">
      <c r="A1403" t="s">
        <v>1793</v>
      </c>
      <c r="B1403" t="s">
        <v>2148</v>
      </c>
      <c r="C1403" t="s">
        <v>2149</v>
      </c>
      <c r="D1403">
        <v>8</v>
      </c>
      <c r="E1403" t="s">
        <v>1447</v>
      </c>
      <c r="F1403" t="s">
        <v>2150</v>
      </c>
      <c r="G1403" t="s">
        <v>1737</v>
      </c>
      <c r="H1403" t="s">
        <v>1799</v>
      </c>
      <c r="I1403" t="s">
        <v>1799</v>
      </c>
      <c r="J1403" t="s">
        <v>1799</v>
      </c>
      <c r="K1403" t="s">
        <v>1799</v>
      </c>
      <c r="L1403" t="s">
        <v>1430</v>
      </c>
      <c r="M1403" t="s">
        <v>1799</v>
      </c>
      <c r="N1403" t="s">
        <v>1799</v>
      </c>
      <c r="O1403" s="184" t="str">
        <f>"["&amp;$C1403&amp;"]["&amp;$D1403&amp;"]["&amp;$F1403&amp;"]"</f>
        <v>[S05_CategoryBHighestTierNotApplied][8][MonitoringMethodology]</v>
      </c>
    </row>
    <row r="1404" spans="1:15" x14ac:dyDescent="0.3">
      <c r="A1404" t="s">
        <v>1793</v>
      </c>
      <c r="B1404" t="s">
        <v>2148</v>
      </c>
      <c r="C1404" t="s">
        <v>2149</v>
      </c>
      <c r="D1404">
        <v>9</v>
      </c>
      <c r="E1404" t="s">
        <v>1447</v>
      </c>
      <c r="F1404" t="s">
        <v>2150</v>
      </c>
      <c r="G1404" t="s">
        <v>1737</v>
      </c>
      <c r="H1404" t="s">
        <v>1799</v>
      </c>
      <c r="I1404" t="s">
        <v>1799</v>
      </c>
      <c r="J1404" t="s">
        <v>1799</v>
      </c>
      <c r="K1404" t="s">
        <v>1799</v>
      </c>
      <c r="L1404" t="s">
        <v>1430</v>
      </c>
      <c r="M1404" t="s">
        <v>1799</v>
      </c>
      <c r="N1404" t="s">
        <v>1799</v>
      </c>
      <c r="O1404" s="184" t="str">
        <f>"["&amp;$C1404&amp;"]["&amp;$D1404&amp;"]["&amp;$F1404&amp;"]"</f>
        <v>[S05_CategoryBHighestTierNotApplied][9][MonitoringMethodology]</v>
      </c>
    </row>
    <row r="1405" spans="1:15" x14ac:dyDescent="0.3">
      <c r="A1405" t="s">
        <v>1793</v>
      </c>
      <c r="B1405" t="s">
        <v>2148</v>
      </c>
      <c r="C1405" t="s">
        <v>2149</v>
      </c>
      <c r="D1405">
        <v>10</v>
      </c>
      <c r="E1405" t="s">
        <v>1447</v>
      </c>
      <c r="F1405" t="s">
        <v>2150</v>
      </c>
      <c r="G1405" t="s">
        <v>1737</v>
      </c>
      <c r="H1405" t="s">
        <v>1799</v>
      </c>
      <c r="I1405" t="s">
        <v>1799</v>
      </c>
      <c r="J1405" t="s">
        <v>1799</v>
      </c>
      <c r="K1405" t="s">
        <v>1799</v>
      </c>
      <c r="L1405" t="s">
        <v>1430</v>
      </c>
      <c r="M1405" t="s">
        <v>1799</v>
      </c>
      <c r="N1405" t="s">
        <v>1799</v>
      </c>
      <c r="O1405" s="184" t="str">
        <f>"["&amp;$C1405&amp;"]["&amp;$D1405&amp;"]["&amp;$F1405&amp;"]"</f>
        <v>[S05_CategoryBHighestTierNotApplied][10][MonitoringMethodology]</v>
      </c>
    </row>
    <row r="1406" spans="1:15" x14ac:dyDescent="0.3">
      <c r="A1406" t="s">
        <v>1793</v>
      </c>
      <c r="B1406" t="s">
        <v>2148</v>
      </c>
      <c r="C1406" t="s">
        <v>2149</v>
      </c>
      <c r="D1406">
        <v>11</v>
      </c>
      <c r="E1406" t="s">
        <v>1447</v>
      </c>
      <c r="F1406" t="s">
        <v>2150</v>
      </c>
      <c r="G1406" t="s">
        <v>1737</v>
      </c>
      <c r="H1406" t="s">
        <v>1799</v>
      </c>
      <c r="I1406" t="s">
        <v>1799</v>
      </c>
      <c r="J1406" t="s">
        <v>1799</v>
      </c>
      <c r="K1406" t="s">
        <v>1799</v>
      </c>
      <c r="L1406" t="s">
        <v>1430</v>
      </c>
      <c r="M1406" t="s">
        <v>1799</v>
      </c>
      <c r="N1406" t="s">
        <v>1799</v>
      </c>
      <c r="O1406" s="184" t="str">
        <f>"["&amp;$C1406&amp;"]["&amp;$D1406&amp;"]["&amp;$F1406&amp;"]"</f>
        <v>[S05_CategoryBHighestTierNotApplied][11][MonitoringMethodology]</v>
      </c>
    </row>
    <row r="1407" spans="1:15" x14ac:dyDescent="0.3">
      <c r="A1407" t="s">
        <v>1793</v>
      </c>
      <c r="B1407" t="s">
        <v>2148</v>
      </c>
      <c r="C1407" t="s">
        <v>2149</v>
      </c>
      <c r="D1407">
        <v>12</v>
      </c>
      <c r="E1407" t="s">
        <v>1447</v>
      </c>
      <c r="F1407" t="s">
        <v>2150</v>
      </c>
      <c r="G1407" t="s">
        <v>1737</v>
      </c>
      <c r="H1407" t="s">
        <v>1799</v>
      </c>
      <c r="I1407" t="s">
        <v>1799</v>
      </c>
      <c r="J1407" t="s">
        <v>1799</v>
      </c>
      <c r="K1407" t="s">
        <v>1799</v>
      </c>
      <c r="L1407" t="s">
        <v>1458</v>
      </c>
      <c r="M1407" t="s">
        <v>1799</v>
      </c>
      <c r="N1407" t="s">
        <v>1799</v>
      </c>
      <c r="O1407" s="184" t="str">
        <f>"["&amp;$C1407&amp;"]["&amp;$D1407&amp;"]["&amp;$F1407&amp;"]"</f>
        <v>[S05_CategoryBHighestTierNotApplied][12][MonitoringMethodology]</v>
      </c>
    </row>
    <row r="1408" spans="1:15" x14ac:dyDescent="0.3">
      <c r="A1408" t="s">
        <v>1793</v>
      </c>
      <c r="B1408" t="s">
        <v>2148</v>
      </c>
      <c r="C1408" t="s">
        <v>2149</v>
      </c>
      <c r="D1408">
        <v>13</v>
      </c>
      <c r="E1408" t="s">
        <v>1447</v>
      </c>
      <c r="F1408" t="s">
        <v>2150</v>
      </c>
      <c r="G1408" t="s">
        <v>1737</v>
      </c>
      <c r="H1408" t="s">
        <v>1799</v>
      </c>
      <c r="I1408" t="s">
        <v>1799</v>
      </c>
      <c r="J1408" t="s">
        <v>1799</v>
      </c>
      <c r="K1408" t="s">
        <v>1799</v>
      </c>
      <c r="L1408" t="s">
        <v>1458</v>
      </c>
      <c r="M1408" t="s">
        <v>1799</v>
      </c>
      <c r="N1408" t="s">
        <v>1799</v>
      </c>
      <c r="O1408" s="184" t="str">
        <f>"["&amp;$C1408&amp;"]["&amp;$D1408&amp;"]["&amp;$F1408&amp;"]"</f>
        <v>[S05_CategoryBHighestTierNotApplied][13][MonitoringMethodology]</v>
      </c>
    </row>
    <row r="1409" spans="1:15" x14ac:dyDescent="0.3">
      <c r="A1409" t="s">
        <v>1793</v>
      </c>
      <c r="B1409" t="s">
        <v>2148</v>
      </c>
      <c r="C1409" t="s">
        <v>2149</v>
      </c>
      <c r="D1409">
        <v>14</v>
      </c>
      <c r="E1409" t="s">
        <v>1447</v>
      </c>
      <c r="F1409" t="s">
        <v>2150</v>
      </c>
      <c r="G1409" t="s">
        <v>1737</v>
      </c>
      <c r="H1409" t="s">
        <v>1799</v>
      </c>
      <c r="I1409" t="s">
        <v>1799</v>
      </c>
      <c r="J1409" t="s">
        <v>1799</v>
      </c>
      <c r="K1409" t="s">
        <v>1799</v>
      </c>
      <c r="L1409" t="s">
        <v>1458</v>
      </c>
      <c r="M1409" t="s">
        <v>1799</v>
      </c>
      <c r="N1409" t="s">
        <v>1799</v>
      </c>
      <c r="O1409" s="184" t="str">
        <f>"["&amp;$C1409&amp;"]["&amp;$D1409&amp;"]["&amp;$F1409&amp;"]"</f>
        <v>[S05_CategoryBHighestTierNotApplied][14][MonitoringMethodology]</v>
      </c>
    </row>
    <row r="1410" spans="1:15" x14ac:dyDescent="0.3">
      <c r="A1410" t="s">
        <v>1793</v>
      </c>
      <c r="B1410" t="s">
        <v>2148</v>
      </c>
      <c r="C1410" t="s">
        <v>2149</v>
      </c>
      <c r="D1410">
        <v>1</v>
      </c>
      <c r="E1410" t="s">
        <v>1447</v>
      </c>
      <c r="F1410" t="s">
        <v>2151</v>
      </c>
      <c r="G1410" t="s">
        <v>1737</v>
      </c>
      <c r="H1410" t="s">
        <v>1799</v>
      </c>
      <c r="I1410" t="s">
        <v>1799</v>
      </c>
      <c r="J1410" t="s">
        <v>1799</v>
      </c>
      <c r="K1410" t="s">
        <v>1799</v>
      </c>
      <c r="L1410" t="s">
        <v>1420</v>
      </c>
      <c r="M1410" t="s">
        <v>1799</v>
      </c>
      <c r="N1410" t="s">
        <v>1799</v>
      </c>
      <c r="O1410" s="184" t="str">
        <f>"["&amp;$C1410&amp;"]["&amp;$D1410&amp;"]["&amp;$F1410&amp;"]"</f>
        <v>[S05_CategoryBHighestTierNotApplied][1][CategoryBMainActivity]</v>
      </c>
    </row>
    <row r="1411" spans="1:15" x14ac:dyDescent="0.3">
      <c r="A1411" t="s">
        <v>1793</v>
      </c>
      <c r="B1411" t="s">
        <v>2148</v>
      </c>
      <c r="C1411" t="s">
        <v>2149</v>
      </c>
      <c r="D1411">
        <v>2</v>
      </c>
      <c r="E1411" t="s">
        <v>1447</v>
      </c>
      <c r="F1411" t="s">
        <v>2151</v>
      </c>
      <c r="G1411" t="s">
        <v>1737</v>
      </c>
      <c r="H1411" t="s">
        <v>1799</v>
      </c>
      <c r="I1411" t="s">
        <v>1799</v>
      </c>
      <c r="J1411" t="s">
        <v>1799</v>
      </c>
      <c r="K1411" t="s">
        <v>1799</v>
      </c>
      <c r="L1411" t="s">
        <v>1448</v>
      </c>
      <c r="M1411" t="s">
        <v>1799</v>
      </c>
      <c r="N1411" t="s">
        <v>1799</v>
      </c>
      <c r="O1411" s="184" t="str">
        <f>"["&amp;$C1411&amp;"]["&amp;$D1411&amp;"]["&amp;$F1411&amp;"]"</f>
        <v>[S05_CategoryBHighestTierNotApplied][2][CategoryBMainActivity]</v>
      </c>
    </row>
    <row r="1412" spans="1:15" x14ac:dyDescent="0.3">
      <c r="A1412" t="s">
        <v>1793</v>
      </c>
      <c r="B1412" t="s">
        <v>2148</v>
      </c>
      <c r="C1412" t="s">
        <v>2149</v>
      </c>
      <c r="D1412">
        <v>3</v>
      </c>
      <c r="E1412" t="s">
        <v>1447</v>
      </c>
      <c r="F1412" t="s">
        <v>2151</v>
      </c>
      <c r="G1412" t="s">
        <v>1737</v>
      </c>
      <c r="H1412" t="s">
        <v>1799</v>
      </c>
      <c r="I1412" t="s">
        <v>1799</v>
      </c>
      <c r="J1412" t="s">
        <v>1799</v>
      </c>
      <c r="K1412" t="s">
        <v>1799</v>
      </c>
      <c r="L1412" t="s">
        <v>1518</v>
      </c>
      <c r="M1412" t="s">
        <v>1799</v>
      </c>
      <c r="N1412" t="s">
        <v>1799</v>
      </c>
      <c r="O1412" s="184" t="str">
        <f>"["&amp;$C1412&amp;"]["&amp;$D1412&amp;"]["&amp;$F1412&amp;"]"</f>
        <v>[S05_CategoryBHighestTierNotApplied][3][CategoryBMainActivity]</v>
      </c>
    </row>
    <row r="1413" spans="1:15" x14ac:dyDescent="0.3">
      <c r="A1413" t="s">
        <v>1793</v>
      </c>
      <c r="B1413" t="s">
        <v>2148</v>
      </c>
      <c r="C1413" t="s">
        <v>2149</v>
      </c>
      <c r="D1413">
        <v>4</v>
      </c>
      <c r="E1413" t="s">
        <v>1447</v>
      </c>
      <c r="F1413" t="s">
        <v>2151</v>
      </c>
      <c r="G1413" t="s">
        <v>1737</v>
      </c>
      <c r="H1413" t="s">
        <v>1799</v>
      </c>
      <c r="I1413" t="s">
        <v>1799</v>
      </c>
      <c r="J1413" t="s">
        <v>1799</v>
      </c>
      <c r="K1413" t="s">
        <v>1799</v>
      </c>
      <c r="L1413" t="s">
        <v>1530</v>
      </c>
      <c r="M1413" t="s">
        <v>1799</v>
      </c>
      <c r="N1413" t="s">
        <v>1799</v>
      </c>
      <c r="O1413" s="184" t="str">
        <f>"["&amp;$C1413&amp;"]["&amp;$D1413&amp;"]["&amp;$F1413&amp;"]"</f>
        <v>[S05_CategoryBHighestTierNotApplied][4][CategoryBMainActivity]</v>
      </c>
    </row>
    <row r="1414" spans="1:15" x14ac:dyDescent="0.3">
      <c r="A1414" t="s">
        <v>1793</v>
      </c>
      <c r="B1414" t="s">
        <v>2148</v>
      </c>
      <c r="C1414" t="s">
        <v>2149</v>
      </c>
      <c r="D1414">
        <v>5</v>
      </c>
      <c r="E1414" t="s">
        <v>1447</v>
      </c>
      <c r="F1414" t="s">
        <v>2151</v>
      </c>
      <c r="G1414" t="s">
        <v>1737</v>
      </c>
      <c r="H1414" t="s">
        <v>1799</v>
      </c>
      <c r="I1414" t="s">
        <v>1799</v>
      </c>
      <c r="J1414" t="s">
        <v>1799</v>
      </c>
      <c r="K1414" t="s">
        <v>1799</v>
      </c>
      <c r="L1414" t="s">
        <v>1557</v>
      </c>
      <c r="M1414" t="s">
        <v>1799</v>
      </c>
      <c r="N1414" t="s">
        <v>1799</v>
      </c>
      <c r="O1414" s="184" t="str">
        <f>"["&amp;$C1414&amp;"]["&amp;$D1414&amp;"]["&amp;$F1414&amp;"]"</f>
        <v>[S05_CategoryBHighestTierNotApplied][5][CategoryBMainActivity]</v>
      </c>
    </row>
    <row r="1415" spans="1:15" x14ac:dyDescent="0.3">
      <c r="A1415" t="s">
        <v>1793</v>
      </c>
      <c r="B1415" t="s">
        <v>2148</v>
      </c>
      <c r="C1415" t="s">
        <v>2149</v>
      </c>
      <c r="D1415">
        <v>6</v>
      </c>
      <c r="E1415" t="s">
        <v>1447</v>
      </c>
      <c r="F1415" t="s">
        <v>2151</v>
      </c>
      <c r="G1415" t="s">
        <v>1737</v>
      </c>
      <c r="H1415" t="s">
        <v>1799</v>
      </c>
      <c r="I1415" t="s">
        <v>1799</v>
      </c>
      <c r="J1415" t="s">
        <v>1799</v>
      </c>
      <c r="K1415" t="s">
        <v>1799</v>
      </c>
      <c r="L1415" t="s">
        <v>1562</v>
      </c>
      <c r="M1415" t="s">
        <v>1799</v>
      </c>
      <c r="N1415" t="s">
        <v>1799</v>
      </c>
      <c r="O1415" s="184" t="str">
        <f>"["&amp;$C1415&amp;"]["&amp;$D1415&amp;"]["&amp;$F1415&amp;"]"</f>
        <v>[S05_CategoryBHighestTierNotApplied][6][CategoryBMainActivity]</v>
      </c>
    </row>
    <row r="1416" spans="1:15" x14ac:dyDescent="0.3">
      <c r="A1416" t="s">
        <v>1793</v>
      </c>
      <c r="B1416" t="s">
        <v>2148</v>
      </c>
      <c r="C1416" t="s">
        <v>2149</v>
      </c>
      <c r="D1416">
        <v>7</v>
      </c>
      <c r="E1416" t="s">
        <v>1447</v>
      </c>
      <c r="F1416" t="s">
        <v>2151</v>
      </c>
      <c r="G1416" t="s">
        <v>1737</v>
      </c>
      <c r="H1416" t="s">
        <v>1799</v>
      </c>
      <c r="I1416" t="s">
        <v>1799</v>
      </c>
      <c r="J1416" t="s">
        <v>1799</v>
      </c>
      <c r="K1416" t="s">
        <v>1799</v>
      </c>
      <c r="L1416" t="s">
        <v>1568</v>
      </c>
      <c r="M1416" t="s">
        <v>1799</v>
      </c>
      <c r="N1416" t="s">
        <v>1799</v>
      </c>
      <c r="O1416" s="184" t="str">
        <f>"["&amp;$C1416&amp;"]["&amp;$D1416&amp;"]["&amp;$F1416&amp;"]"</f>
        <v>[S05_CategoryBHighestTierNotApplied][7][CategoryBMainActivity]</v>
      </c>
    </row>
    <row r="1417" spans="1:15" x14ac:dyDescent="0.3">
      <c r="A1417" t="s">
        <v>1793</v>
      </c>
      <c r="B1417" t="s">
        <v>2148</v>
      </c>
      <c r="C1417" t="s">
        <v>2149</v>
      </c>
      <c r="D1417">
        <v>8</v>
      </c>
      <c r="E1417" t="s">
        <v>1447</v>
      </c>
      <c r="F1417" t="s">
        <v>2151</v>
      </c>
      <c r="G1417" t="s">
        <v>1737</v>
      </c>
      <c r="H1417" t="s">
        <v>1799</v>
      </c>
      <c r="I1417" t="s">
        <v>1799</v>
      </c>
      <c r="J1417" t="s">
        <v>1799</v>
      </c>
      <c r="K1417" t="s">
        <v>1799</v>
      </c>
      <c r="L1417" t="s">
        <v>1573</v>
      </c>
      <c r="M1417" t="s">
        <v>1799</v>
      </c>
      <c r="N1417" t="s">
        <v>1799</v>
      </c>
      <c r="O1417" s="184" t="str">
        <f>"["&amp;$C1417&amp;"]["&amp;$D1417&amp;"]["&amp;$F1417&amp;"]"</f>
        <v>[S05_CategoryBHighestTierNotApplied][8][CategoryBMainActivity]</v>
      </c>
    </row>
    <row r="1418" spans="1:15" x14ac:dyDescent="0.3">
      <c r="A1418" t="s">
        <v>1793</v>
      </c>
      <c r="B1418" t="s">
        <v>2148</v>
      </c>
      <c r="C1418" t="s">
        <v>2149</v>
      </c>
      <c r="D1418">
        <v>9</v>
      </c>
      <c r="E1418" t="s">
        <v>1447</v>
      </c>
      <c r="F1418" t="s">
        <v>2151</v>
      </c>
      <c r="G1418" t="s">
        <v>1737</v>
      </c>
      <c r="H1418" t="s">
        <v>1799</v>
      </c>
      <c r="I1418" t="s">
        <v>1799</v>
      </c>
      <c r="J1418" t="s">
        <v>1799</v>
      </c>
      <c r="K1418" t="s">
        <v>1799</v>
      </c>
      <c r="L1418" t="s">
        <v>1597</v>
      </c>
      <c r="M1418" t="s">
        <v>1799</v>
      </c>
      <c r="N1418" t="s">
        <v>1799</v>
      </c>
      <c r="O1418" s="184" t="str">
        <f>"["&amp;$C1418&amp;"]["&amp;$D1418&amp;"]["&amp;$F1418&amp;"]"</f>
        <v>[S05_CategoryBHighestTierNotApplied][9][CategoryBMainActivity]</v>
      </c>
    </row>
    <row r="1419" spans="1:15" x14ac:dyDescent="0.3">
      <c r="A1419" t="s">
        <v>1793</v>
      </c>
      <c r="B1419" t="s">
        <v>2148</v>
      </c>
      <c r="C1419" t="s">
        <v>2149</v>
      </c>
      <c r="D1419">
        <v>10</v>
      </c>
      <c r="E1419" t="s">
        <v>1447</v>
      </c>
      <c r="F1419" t="s">
        <v>2151</v>
      </c>
      <c r="G1419" t="s">
        <v>1737</v>
      </c>
      <c r="H1419" t="s">
        <v>1799</v>
      </c>
      <c r="I1419" t="s">
        <v>1799</v>
      </c>
      <c r="J1419" t="s">
        <v>1799</v>
      </c>
      <c r="K1419" t="s">
        <v>1799</v>
      </c>
      <c r="L1419" t="s">
        <v>1626</v>
      </c>
      <c r="M1419" t="s">
        <v>1799</v>
      </c>
      <c r="N1419" t="s">
        <v>1799</v>
      </c>
      <c r="O1419" s="184" t="str">
        <f>"["&amp;$C1419&amp;"]["&amp;$D1419&amp;"]["&amp;$F1419&amp;"]"</f>
        <v>[S05_CategoryBHighestTierNotApplied][10][CategoryBMainActivity]</v>
      </c>
    </row>
    <row r="1420" spans="1:15" x14ac:dyDescent="0.3">
      <c r="A1420" t="s">
        <v>1793</v>
      </c>
      <c r="B1420" t="s">
        <v>2148</v>
      </c>
      <c r="C1420" t="s">
        <v>2149</v>
      </c>
      <c r="D1420">
        <v>11</v>
      </c>
      <c r="E1420" t="s">
        <v>1447</v>
      </c>
      <c r="F1420" t="s">
        <v>2151</v>
      </c>
      <c r="G1420" t="s">
        <v>1737</v>
      </c>
      <c r="H1420" t="s">
        <v>1799</v>
      </c>
      <c r="I1420" t="s">
        <v>1799</v>
      </c>
      <c r="J1420" t="s">
        <v>1799</v>
      </c>
      <c r="K1420" t="s">
        <v>1799</v>
      </c>
      <c r="L1420" t="s">
        <v>1631</v>
      </c>
      <c r="M1420" t="s">
        <v>1799</v>
      </c>
      <c r="N1420" t="s">
        <v>1799</v>
      </c>
      <c r="O1420" s="184" t="str">
        <f>"["&amp;$C1420&amp;"]["&amp;$D1420&amp;"]["&amp;$F1420&amp;"]"</f>
        <v>[S05_CategoryBHighestTierNotApplied][11][CategoryBMainActivity]</v>
      </c>
    </row>
    <row r="1421" spans="1:15" x14ac:dyDescent="0.3">
      <c r="A1421" t="s">
        <v>1793</v>
      </c>
      <c r="B1421" t="s">
        <v>2148</v>
      </c>
      <c r="C1421" t="s">
        <v>2149</v>
      </c>
      <c r="D1421">
        <v>12</v>
      </c>
      <c r="E1421" t="s">
        <v>1447</v>
      </c>
      <c r="F1421" t="s">
        <v>2151</v>
      </c>
      <c r="G1421" t="s">
        <v>1737</v>
      </c>
      <c r="H1421" t="s">
        <v>1799</v>
      </c>
      <c r="I1421" t="s">
        <v>1799</v>
      </c>
      <c r="J1421" t="s">
        <v>1799</v>
      </c>
      <c r="K1421" t="s">
        <v>1799</v>
      </c>
      <c r="L1421" t="s">
        <v>1420</v>
      </c>
      <c r="M1421" t="s">
        <v>1799</v>
      </c>
      <c r="N1421" t="s">
        <v>1799</v>
      </c>
      <c r="O1421" s="184" t="str">
        <f>"["&amp;$C1421&amp;"]["&amp;$D1421&amp;"]["&amp;$F1421&amp;"]"</f>
        <v>[S05_CategoryBHighestTierNotApplied][12][CategoryBMainActivity]</v>
      </c>
    </row>
    <row r="1422" spans="1:15" x14ac:dyDescent="0.3">
      <c r="A1422" t="s">
        <v>1793</v>
      </c>
      <c r="B1422" t="s">
        <v>2148</v>
      </c>
      <c r="C1422" t="s">
        <v>2149</v>
      </c>
      <c r="D1422">
        <v>13</v>
      </c>
      <c r="E1422" t="s">
        <v>1447</v>
      </c>
      <c r="F1422" t="s">
        <v>2151</v>
      </c>
      <c r="G1422" t="s">
        <v>1737</v>
      </c>
      <c r="H1422" t="s">
        <v>1799</v>
      </c>
      <c r="I1422" t="s">
        <v>1799</v>
      </c>
      <c r="J1422" t="s">
        <v>1799</v>
      </c>
      <c r="K1422" t="s">
        <v>1799</v>
      </c>
      <c r="L1422" t="s">
        <v>1607</v>
      </c>
      <c r="M1422" t="s">
        <v>1799</v>
      </c>
      <c r="N1422" t="s">
        <v>1799</v>
      </c>
      <c r="O1422" s="184" t="str">
        <f>"["&amp;$C1422&amp;"]["&amp;$D1422&amp;"]["&amp;$F1422&amp;"]"</f>
        <v>[S05_CategoryBHighestTierNotApplied][13][CategoryBMainActivity]</v>
      </c>
    </row>
    <row r="1423" spans="1:15" x14ac:dyDescent="0.3">
      <c r="A1423" t="s">
        <v>1793</v>
      </c>
      <c r="B1423" t="s">
        <v>2148</v>
      </c>
      <c r="C1423" t="s">
        <v>2149</v>
      </c>
      <c r="D1423">
        <v>14</v>
      </c>
      <c r="E1423" t="s">
        <v>1447</v>
      </c>
      <c r="F1423" t="s">
        <v>2151</v>
      </c>
      <c r="G1423" t="s">
        <v>1737</v>
      </c>
      <c r="H1423" t="s">
        <v>1799</v>
      </c>
      <c r="I1423" t="s">
        <v>1799</v>
      </c>
      <c r="J1423" t="s">
        <v>1799</v>
      </c>
      <c r="K1423" t="s">
        <v>1799</v>
      </c>
      <c r="L1423" t="s">
        <v>1626</v>
      </c>
      <c r="M1423" t="s">
        <v>1799</v>
      </c>
      <c r="N1423" t="s">
        <v>1799</v>
      </c>
      <c r="O1423" s="184" t="str">
        <f>"["&amp;$C1423&amp;"]["&amp;$D1423&amp;"]["&amp;$F1423&amp;"]"</f>
        <v>[S05_CategoryBHighestTierNotApplied][14][CategoryBMainActivity]</v>
      </c>
    </row>
    <row r="1424" spans="1:15" x14ac:dyDescent="0.3">
      <c r="A1424" t="s">
        <v>1793</v>
      </c>
      <c r="B1424" t="s">
        <v>2148</v>
      </c>
      <c r="C1424" t="s">
        <v>2149</v>
      </c>
      <c r="D1424">
        <v>1</v>
      </c>
      <c r="E1424" t="s">
        <v>1447</v>
      </c>
      <c r="F1424" t="s">
        <v>2152</v>
      </c>
      <c r="G1424" t="s">
        <v>1811</v>
      </c>
      <c r="H1424" t="s">
        <v>1799</v>
      </c>
      <c r="I1424">
        <v>9</v>
      </c>
      <c r="J1424" t="s">
        <v>1799</v>
      </c>
      <c r="K1424" t="s">
        <v>1799</v>
      </c>
      <c r="L1424" t="s">
        <v>1799</v>
      </c>
      <c r="M1424" t="s">
        <v>1799</v>
      </c>
      <c r="N1424" t="s">
        <v>1799</v>
      </c>
      <c r="O1424" s="184" t="str">
        <f>"["&amp;$C1424&amp;"]["&amp;$D1424&amp;"]["&amp;$F1424&amp;"]"</f>
        <v>[S05_CategoryBHighestTierNotApplied][1][CategoryBInstallationsAffected]</v>
      </c>
    </row>
    <row r="1425" spans="1:15" x14ac:dyDescent="0.3">
      <c r="A1425" t="s">
        <v>1793</v>
      </c>
      <c r="B1425" t="s">
        <v>2148</v>
      </c>
      <c r="C1425" t="s">
        <v>2149</v>
      </c>
      <c r="D1425">
        <v>2</v>
      </c>
      <c r="E1425" t="s">
        <v>1447</v>
      </c>
      <c r="F1425" t="s">
        <v>2152</v>
      </c>
      <c r="G1425" t="s">
        <v>1811</v>
      </c>
      <c r="H1425" t="s">
        <v>1799</v>
      </c>
      <c r="I1425">
        <v>1</v>
      </c>
      <c r="J1425" t="s">
        <v>1799</v>
      </c>
      <c r="K1425" t="s">
        <v>1799</v>
      </c>
      <c r="L1425" t="s">
        <v>1799</v>
      </c>
      <c r="M1425" t="s">
        <v>1799</v>
      </c>
      <c r="N1425" t="s">
        <v>1799</v>
      </c>
      <c r="O1425" s="184" t="str">
        <f>"["&amp;$C1425&amp;"]["&amp;$D1425&amp;"]["&amp;$F1425&amp;"]"</f>
        <v>[S05_CategoryBHighestTierNotApplied][2][CategoryBInstallationsAffected]</v>
      </c>
    </row>
    <row r="1426" spans="1:15" x14ac:dyDescent="0.3">
      <c r="A1426" t="s">
        <v>1793</v>
      </c>
      <c r="B1426" t="s">
        <v>2148</v>
      </c>
      <c r="C1426" t="s">
        <v>2149</v>
      </c>
      <c r="D1426">
        <v>3</v>
      </c>
      <c r="E1426" t="s">
        <v>1447</v>
      </c>
      <c r="F1426" t="s">
        <v>2152</v>
      </c>
      <c r="G1426" t="s">
        <v>1811</v>
      </c>
      <c r="H1426" t="s">
        <v>1799</v>
      </c>
      <c r="I1426">
        <v>4</v>
      </c>
      <c r="J1426" t="s">
        <v>1799</v>
      </c>
      <c r="K1426" t="s">
        <v>1799</v>
      </c>
      <c r="L1426" t="s">
        <v>1799</v>
      </c>
      <c r="M1426" t="s">
        <v>1799</v>
      </c>
      <c r="N1426" t="s">
        <v>1799</v>
      </c>
      <c r="O1426" s="184" t="str">
        <f>"["&amp;$C1426&amp;"]["&amp;$D1426&amp;"]["&amp;$F1426&amp;"]"</f>
        <v>[S05_CategoryBHighestTierNotApplied][3][CategoryBInstallationsAffected]</v>
      </c>
    </row>
    <row r="1427" spans="1:15" x14ac:dyDescent="0.3">
      <c r="A1427" t="s">
        <v>1793</v>
      </c>
      <c r="B1427" t="s">
        <v>2148</v>
      </c>
      <c r="C1427" t="s">
        <v>2149</v>
      </c>
      <c r="D1427">
        <v>4</v>
      </c>
      <c r="E1427" t="s">
        <v>1447</v>
      </c>
      <c r="F1427" t="s">
        <v>2152</v>
      </c>
      <c r="G1427" t="s">
        <v>1811</v>
      </c>
      <c r="H1427" t="s">
        <v>1799</v>
      </c>
      <c r="I1427">
        <v>4</v>
      </c>
      <c r="J1427" t="s">
        <v>1799</v>
      </c>
      <c r="K1427" t="s">
        <v>1799</v>
      </c>
      <c r="L1427" t="s">
        <v>1799</v>
      </c>
      <c r="M1427" t="s">
        <v>1799</v>
      </c>
      <c r="N1427" t="s">
        <v>1799</v>
      </c>
      <c r="O1427" s="184" t="str">
        <f>"["&amp;$C1427&amp;"]["&amp;$D1427&amp;"]["&amp;$F1427&amp;"]"</f>
        <v>[S05_CategoryBHighestTierNotApplied][4][CategoryBInstallationsAffected]</v>
      </c>
    </row>
    <row r="1428" spans="1:15" x14ac:dyDescent="0.3">
      <c r="A1428" t="s">
        <v>1793</v>
      </c>
      <c r="B1428" t="s">
        <v>2148</v>
      </c>
      <c r="C1428" t="s">
        <v>2149</v>
      </c>
      <c r="D1428">
        <v>5</v>
      </c>
      <c r="E1428" t="s">
        <v>1447</v>
      </c>
      <c r="F1428" t="s">
        <v>2152</v>
      </c>
      <c r="G1428" t="s">
        <v>1811</v>
      </c>
      <c r="H1428" t="s">
        <v>1799</v>
      </c>
      <c r="I1428">
        <v>2</v>
      </c>
      <c r="J1428" t="s">
        <v>1799</v>
      </c>
      <c r="K1428" t="s">
        <v>1799</v>
      </c>
      <c r="L1428" t="s">
        <v>1799</v>
      </c>
      <c r="M1428" t="s">
        <v>1799</v>
      </c>
      <c r="N1428" t="s">
        <v>1799</v>
      </c>
      <c r="O1428" s="184" t="str">
        <f>"["&amp;$C1428&amp;"]["&amp;$D1428&amp;"]["&amp;$F1428&amp;"]"</f>
        <v>[S05_CategoryBHighestTierNotApplied][5][CategoryBInstallationsAffected]</v>
      </c>
    </row>
    <row r="1429" spans="1:15" x14ac:dyDescent="0.3">
      <c r="A1429" t="s">
        <v>1793</v>
      </c>
      <c r="B1429" t="s">
        <v>2148</v>
      </c>
      <c r="C1429" t="s">
        <v>2149</v>
      </c>
      <c r="D1429">
        <v>6</v>
      </c>
      <c r="E1429" t="s">
        <v>1447</v>
      </c>
      <c r="F1429" t="s">
        <v>2152</v>
      </c>
      <c r="G1429" t="s">
        <v>1811</v>
      </c>
      <c r="H1429" t="s">
        <v>1799</v>
      </c>
      <c r="I1429">
        <v>3</v>
      </c>
      <c r="J1429" t="s">
        <v>1799</v>
      </c>
      <c r="K1429" t="s">
        <v>1799</v>
      </c>
      <c r="L1429" t="s">
        <v>1799</v>
      </c>
      <c r="M1429" t="s">
        <v>1799</v>
      </c>
      <c r="N1429" t="s">
        <v>1799</v>
      </c>
      <c r="O1429" s="184" t="str">
        <f>"["&amp;$C1429&amp;"]["&amp;$D1429&amp;"]["&amp;$F1429&amp;"]"</f>
        <v>[S05_CategoryBHighestTierNotApplied][6][CategoryBInstallationsAffected]</v>
      </c>
    </row>
    <row r="1430" spans="1:15" x14ac:dyDescent="0.3">
      <c r="A1430" t="s">
        <v>1793</v>
      </c>
      <c r="B1430" t="s">
        <v>2148</v>
      </c>
      <c r="C1430" t="s">
        <v>2149</v>
      </c>
      <c r="D1430">
        <v>7</v>
      </c>
      <c r="E1430" t="s">
        <v>1447</v>
      </c>
      <c r="F1430" t="s">
        <v>2152</v>
      </c>
      <c r="G1430" t="s">
        <v>1811</v>
      </c>
      <c r="H1430" t="s">
        <v>1799</v>
      </c>
      <c r="I1430">
        <v>1</v>
      </c>
      <c r="J1430" t="s">
        <v>1799</v>
      </c>
      <c r="K1430" t="s">
        <v>1799</v>
      </c>
      <c r="L1430" t="s">
        <v>1799</v>
      </c>
      <c r="M1430" t="s">
        <v>1799</v>
      </c>
      <c r="N1430" t="s">
        <v>1799</v>
      </c>
      <c r="O1430" s="184" t="str">
        <f>"["&amp;$C1430&amp;"]["&amp;$D1430&amp;"]["&amp;$F1430&amp;"]"</f>
        <v>[S05_CategoryBHighestTierNotApplied][7][CategoryBInstallationsAffected]</v>
      </c>
    </row>
    <row r="1431" spans="1:15" x14ac:dyDescent="0.3">
      <c r="A1431" t="s">
        <v>1793</v>
      </c>
      <c r="B1431" t="s">
        <v>2148</v>
      </c>
      <c r="C1431" t="s">
        <v>2149</v>
      </c>
      <c r="D1431">
        <v>8</v>
      </c>
      <c r="E1431" t="s">
        <v>1447</v>
      </c>
      <c r="F1431" t="s">
        <v>2152</v>
      </c>
      <c r="G1431" t="s">
        <v>1811</v>
      </c>
      <c r="H1431" t="s">
        <v>1799</v>
      </c>
      <c r="I1431">
        <v>3</v>
      </c>
      <c r="J1431" t="s">
        <v>1799</v>
      </c>
      <c r="K1431" t="s">
        <v>1799</v>
      </c>
      <c r="L1431" t="s">
        <v>1799</v>
      </c>
      <c r="M1431" t="s">
        <v>1799</v>
      </c>
      <c r="N1431" t="s">
        <v>1799</v>
      </c>
      <c r="O1431" s="184" t="str">
        <f>"["&amp;$C1431&amp;"]["&amp;$D1431&amp;"]["&amp;$F1431&amp;"]"</f>
        <v>[S05_CategoryBHighestTierNotApplied][8][CategoryBInstallationsAffected]</v>
      </c>
    </row>
    <row r="1432" spans="1:15" x14ac:dyDescent="0.3">
      <c r="A1432" t="s">
        <v>1793</v>
      </c>
      <c r="B1432" t="s">
        <v>2148</v>
      </c>
      <c r="C1432" t="s">
        <v>2149</v>
      </c>
      <c r="D1432">
        <v>9</v>
      </c>
      <c r="E1432" t="s">
        <v>1447</v>
      </c>
      <c r="F1432" t="s">
        <v>2152</v>
      </c>
      <c r="G1432" t="s">
        <v>1811</v>
      </c>
      <c r="H1432" t="s">
        <v>1799</v>
      </c>
      <c r="I1432">
        <v>2</v>
      </c>
      <c r="J1432" t="s">
        <v>1799</v>
      </c>
      <c r="K1432" t="s">
        <v>1799</v>
      </c>
      <c r="L1432" t="s">
        <v>1799</v>
      </c>
      <c r="M1432" t="s">
        <v>1799</v>
      </c>
      <c r="N1432" t="s">
        <v>1799</v>
      </c>
      <c r="O1432" s="184" t="str">
        <f>"["&amp;$C1432&amp;"]["&amp;$D1432&amp;"]["&amp;$F1432&amp;"]"</f>
        <v>[S05_CategoryBHighestTierNotApplied][9][CategoryBInstallationsAffected]</v>
      </c>
    </row>
    <row r="1433" spans="1:15" x14ac:dyDescent="0.3">
      <c r="A1433" t="s">
        <v>1793</v>
      </c>
      <c r="B1433" t="s">
        <v>2148</v>
      </c>
      <c r="C1433" t="s">
        <v>2149</v>
      </c>
      <c r="D1433">
        <v>10</v>
      </c>
      <c r="E1433" t="s">
        <v>1447</v>
      </c>
      <c r="F1433" t="s">
        <v>2152</v>
      </c>
      <c r="G1433" t="s">
        <v>1811</v>
      </c>
      <c r="H1433" t="s">
        <v>1799</v>
      </c>
      <c r="I1433">
        <v>7</v>
      </c>
      <c r="J1433" t="s">
        <v>1799</v>
      </c>
      <c r="K1433" t="s">
        <v>1799</v>
      </c>
      <c r="L1433" t="s">
        <v>1799</v>
      </c>
      <c r="M1433" t="s">
        <v>1799</v>
      </c>
      <c r="N1433" t="s">
        <v>1799</v>
      </c>
      <c r="O1433" s="184" t="str">
        <f>"["&amp;$C1433&amp;"]["&amp;$D1433&amp;"]["&amp;$F1433&amp;"]"</f>
        <v>[S05_CategoryBHighestTierNotApplied][10][CategoryBInstallationsAffected]</v>
      </c>
    </row>
    <row r="1434" spans="1:15" x14ac:dyDescent="0.3">
      <c r="A1434" t="s">
        <v>1793</v>
      </c>
      <c r="B1434" t="s">
        <v>2148</v>
      </c>
      <c r="C1434" t="s">
        <v>2149</v>
      </c>
      <c r="D1434">
        <v>11</v>
      </c>
      <c r="E1434" t="s">
        <v>1447</v>
      </c>
      <c r="F1434" t="s">
        <v>2152</v>
      </c>
      <c r="G1434" t="s">
        <v>1811</v>
      </c>
      <c r="H1434" t="s">
        <v>1799</v>
      </c>
      <c r="I1434">
        <v>1</v>
      </c>
      <c r="J1434" t="s">
        <v>1799</v>
      </c>
      <c r="K1434" t="s">
        <v>1799</v>
      </c>
      <c r="L1434" t="s">
        <v>1799</v>
      </c>
      <c r="M1434" t="s">
        <v>1799</v>
      </c>
      <c r="N1434" t="s">
        <v>1799</v>
      </c>
      <c r="O1434" s="184" t="str">
        <f>"["&amp;$C1434&amp;"]["&amp;$D1434&amp;"]["&amp;$F1434&amp;"]"</f>
        <v>[S05_CategoryBHighestTierNotApplied][11][CategoryBInstallationsAffected]</v>
      </c>
    </row>
    <row r="1435" spans="1:15" x14ac:dyDescent="0.3">
      <c r="A1435" t="s">
        <v>1793</v>
      </c>
      <c r="B1435" t="s">
        <v>2148</v>
      </c>
      <c r="C1435" t="s">
        <v>2149</v>
      </c>
      <c r="D1435">
        <v>12</v>
      </c>
      <c r="E1435" t="s">
        <v>1447</v>
      </c>
      <c r="F1435" t="s">
        <v>2152</v>
      </c>
      <c r="G1435" t="s">
        <v>1811</v>
      </c>
      <c r="H1435" t="s">
        <v>1799</v>
      </c>
      <c r="I1435">
        <v>4</v>
      </c>
      <c r="J1435" t="s">
        <v>1799</v>
      </c>
      <c r="K1435" t="s">
        <v>1799</v>
      </c>
      <c r="L1435" t="s">
        <v>1799</v>
      </c>
      <c r="M1435" t="s">
        <v>1799</v>
      </c>
      <c r="N1435" t="s">
        <v>1799</v>
      </c>
      <c r="O1435" s="184" t="str">
        <f>"["&amp;$C1435&amp;"]["&amp;$D1435&amp;"]["&amp;$F1435&amp;"]"</f>
        <v>[S05_CategoryBHighestTierNotApplied][12][CategoryBInstallationsAffected]</v>
      </c>
    </row>
    <row r="1436" spans="1:15" x14ac:dyDescent="0.3">
      <c r="A1436" t="s">
        <v>1793</v>
      </c>
      <c r="B1436" t="s">
        <v>2148</v>
      </c>
      <c r="C1436" t="s">
        <v>2149</v>
      </c>
      <c r="D1436">
        <v>13</v>
      </c>
      <c r="E1436" t="s">
        <v>1447</v>
      </c>
      <c r="F1436" t="s">
        <v>2152</v>
      </c>
      <c r="G1436" t="s">
        <v>1811</v>
      </c>
      <c r="H1436" t="s">
        <v>1799</v>
      </c>
      <c r="I1436">
        <v>1</v>
      </c>
      <c r="J1436" t="s">
        <v>1799</v>
      </c>
      <c r="K1436" t="s">
        <v>1799</v>
      </c>
      <c r="L1436" t="s">
        <v>1799</v>
      </c>
      <c r="M1436" t="s">
        <v>1799</v>
      </c>
      <c r="N1436" t="s">
        <v>1799</v>
      </c>
      <c r="O1436" s="184" t="str">
        <f>"["&amp;$C1436&amp;"]["&amp;$D1436&amp;"]["&amp;$F1436&amp;"]"</f>
        <v>[S05_CategoryBHighestTierNotApplied][13][CategoryBInstallationsAffected]</v>
      </c>
    </row>
    <row r="1437" spans="1:15" x14ac:dyDescent="0.3">
      <c r="A1437" t="s">
        <v>1793</v>
      </c>
      <c r="B1437" t="s">
        <v>2148</v>
      </c>
      <c r="C1437" t="s">
        <v>2149</v>
      </c>
      <c r="D1437">
        <v>14</v>
      </c>
      <c r="E1437" t="s">
        <v>1447</v>
      </c>
      <c r="F1437" t="s">
        <v>2152</v>
      </c>
      <c r="G1437" t="s">
        <v>1811</v>
      </c>
      <c r="H1437" t="s">
        <v>1799</v>
      </c>
      <c r="I1437">
        <v>2</v>
      </c>
      <c r="J1437" t="s">
        <v>1799</v>
      </c>
      <c r="K1437" t="s">
        <v>1799</v>
      </c>
      <c r="L1437" t="s">
        <v>1799</v>
      </c>
      <c r="M1437" t="s">
        <v>1799</v>
      </c>
      <c r="N1437" t="s">
        <v>1799</v>
      </c>
      <c r="O1437" s="184" t="str">
        <f>"["&amp;$C1437&amp;"]["&amp;$D1437&amp;"]["&amp;$F1437&amp;"]"</f>
        <v>[S05_CategoryBHighestTierNotApplied][14][CategoryBInstallationsAffected]</v>
      </c>
    </row>
    <row r="1438" spans="1:15" x14ac:dyDescent="0.3">
      <c r="A1438" t="s">
        <v>1793</v>
      </c>
      <c r="B1438" t="s">
        <v>2153</v>
      </c>
      <c r="C1438" t="s">
        <v>2154</v>
      </c>
      <c r="D1438">
        <v>0</v>
      </c>
      <c r="E1438" t="s">
        <v>1447</v>
      </c>
      <c r="F1438" t="s">
        <v>2154</v>
      </c>
      <c r="G1438" t="s">
        <v>1826</v>
      </c>
      <c r="H1438" t="s">
        <v>1799</v>
      </c>
      <c r="I1438" t="s">
        <v>1799</v>
      </c>
      <c r="J1438" t="s">
        <v>1799</v>
      </c>
      <c r="K1438" t="s">
        <v>1799</v>
      </c>
      <c r="L1438" t="s">
        <v>1419</v>
      </c>
      <c r="M1438" t="s">
        <v>1799</v>
      </c>
      <c r="N1438" t="s">
        <v>1799</v>
      </c>
      <c r="O1438" s="184" t="str">
        <f>"["&amp;$C1438&amp;"]["&amp;$D1438&amp;"]["&amp;$F1438&amp;"]"</f>
        <v>[FallBackApproachApplied][0][FallBackApproachApplied]</v>
      </c>
    </row>
    <row r="1439" spans="1:15" x14ac:dyDescent="0.3">
      <c r="A1439" t="s">
        <v>1793</v>
      </c>
      <c r="B1439" t="s">
        <v>2153</v>
      </c>
      <c r="C1439" t="s">
        <v>2155</v>
      </c>
      <c r="D1439">
        <v>1</v>
      </c>
      <c r="E1439" t="s">
        <v>1447</v>
      </c>
      <c r="F1439" t="s">
        <v>2156</v>
      </c>
      <c r="G1439" t="s">
        <v>1797</v>
      </c>
      <c r="H1439" t="s">
        <v>2157</v>
      </c>
      <c r="I1439" t="s">
        <v>1799</v>
      </c>
      <c r="J1439" t="s">
        <v>1799</v>
      </c>
      <c r="K1439" t="s">
        <v>1799</v>
      </c>
      <c r="L1439" t="s">
        <v>1799</v>
      </c>
      <c r="M1439" t="s">
        <v>1799</v>
      </c>
      <c r="N1439" t="s">
        <v>1799</v>
      </c>
      <c r="O1439" s="184" t="str">
        <f>"["&amp;$C1439&amp;"]["&amp;$D1439&amp;"]["&amp;$F1439&amp;"]"</f>
        <v>[S05_FallBackApproachAppliedDetail][1][FallbackInstallationID]</v>
      </c>
    </row>
    <row r="1440" spans="1:15" x14ac:dyDescent="0.3">
      <c r="A1440" t="s">
        <v>1793</v>
      </c>
      <c r="B1440" t="s">
        <v>2153</v>
      </c>
      <c r="C1440" t="s">
        <v>2155</v>
      </c>
      <c r="D1440">
        <v>1</v>
      </c>
      <c r="E1440" t="s">
        <v>1447</v>
      </c>
      <c r="F1440" t="s">
        <v>2158</v>
      </c>
      <c r="G1440" t="s">
        <v>1737</v>
      </c>
      <c r="H1440" t="s">
        <v>1799</v>
      </c>
      <c r="I1440" t="s">
        <v>1799</v>
      </c>
      <c r="J1440" t="s">
        <v>1799</v>
      </c>
      <c r="K1440" t="s">
        <v>1799</v>
      </c>
      <c r="L1440" t="s">
        <v>1459</v>
      </c>
      <c r="M1440" t="s">
        <v>1799</v>
      </c>
      <c r="N1440" t="s">
        <v>1799</v>
      </c>
      <c r="O1440" s="184" t="str">
        <f>"["&amp;$C1440&amp;"]["&amp;$D1440&amp;"]["&amp;$F1440&amp;"]"</f>
        <v>[S05_FallBackApproachAppliedDetail][1][FallBackReason]</v>
      </c>
    </row>
    <row r="1441" spans="1:15" x14ac:dyDescent="0.3">
      <c r="A1441" t="s">
        <v>1793</v>
      </c>
      <c r="B1441" t="s">
        <v>2153</v>
      </c>
      <c r="C1441" t="s">
        <v>2155</v>
      </c>
      <c r="D1441">
        <v>1</v>
      </c>
      <c r="E1441" t="s">
        <v>1447</v>
      </c>
      <c r="F1441" t="s">
        <v>2159</v>
      </c>
      <c r="G1441" t="s">
        <v>1737</v>
      </c>
      <c r="H1441" t="s">
        <v>1799</v>
      </c>
      <c r="I1441" t="s">
        <v>1799</v>
      </c>
      <c r="J1441" t="s">
        <v>1799</v>
      </c>
      <c r="K1441" t="s">
        <v>1799</v>
      </c>
      <c r="L1441" t="s">
        <v>1428</v>
      </c>
      <c r="M1441" t="s">
        <v>1799</v>
      </c>
      <c r="N1441" t="s">
        <v>1799</v>
      </c>
      <c r="O1441" s="184" t="str">
        <f>"["&amp;$C1441&amp;"]["&amp;$D1441&amp;"]["&amp;$F1441&amp;"]"</f>
        <v>[S05_FallBackApproachAppliedDetail][1][ParameterNotTier1]</v>
      </c>
    </row>
    <row r="1442" spans="1:15" x14ac:dyDescent="0.3">
      <c r="A1442" t="s">
        <v>1793</v>
      </c>
      <c r="B1442" t="s">
        <v>2153</v>
      </c>
      <c r="C1442" t="s">
        <v>2155</v>
      </c>
      <c r="D1442">
        <v>1</v>
      </c>
      <c r="E1442" t="s">
        <v>1447</v>
      </c>
      <c r="F1442" t="s">
        <v>2160</v>
      </c>
      <c r="G1442" t="s">
        <v>1892</v>
      </c>
      <c r="H1442" t="s">
        <v>1799</v>
      </c>
      <c r="I1442" t="s">
        <v>1799</v>
      </c>
      <c r="J1442">
        <v>2500</v>
      </c>
      <c r="K1442" t="s">
        <v>1799</v>
      </c>
      <c r="L1442" t="s">
        <v>1799</v>
      </c>
      <c r="M1442" t="s">
        <v>1799</v>
      </c>
      <c r="N1442" t="s">
        <v>1799</v>
      </c>
      <c r="O1442" s="184" t="str">
        <f>"["&amp;$C1442&amp;"]["&amp;$D1442&amp;"]["&amp;$F1442&amp;"]"</f>
        <v>[S05_FallBackApproachAppliedDetail][1][ParameterEmissions]</v>
      </c>
    </row>
    <row r="1443" spans="1:15" x14ac:dyDescent="0.3">
      <c r="A1443" t="s">
        <v>1793</v>
      </c>
      <c r="B1443" t="s">
        <v>2161</v>
      </c>
      <c r="C1443" t="s">
        <v>2162</v>
      </c>
      <c r="D1443">
        <v>1</v>
      </c>
      <c r="E1443" t="s">
        <v>1447</v>
      </c>
      <c r="F1443" t="s">
        <v>1960</v>
      </c>
      <c r="G1443" t="s">
        <v>1737</v>
      </c>
      <c r="H1443" t="s">
        <v>1799</v>
      </c>
      <c r="I1443" t="s">
        <v>1799</v>
      </c>
      <c r="J1443" t="s">
        <v>1799</v>
      </c>
      <c r="K1443" t="s">
        <v>1799</v>
      </c>
      <c r="L1443" t="s">
        <v>1487</v>
      </c>
      <c r="M1443" t="s">
        <v>1799</v>
      </c>
      <c r="N1443" t="s">
        <v>1799</v>
      </c>
      <c r="O1443" s="184" t="str">
        <f>"["&amp;$C1443&amp;"]["&amp;$D1443&amp;"]["&amp;$F1443&amp;"]"</f>
        <v>[S05_ImprovementReportArt69][1][InstallationCategory]</v>
      </c>
    </row>
    <row r="1444" spans="1:15" x14ac:dyDescent="0.3">
      <c r="A1444" t="s">
        <v>1793</v>
      </c>
      <c r="B1444" t="s">
        <v>2161</v>
      </c>
      <c r="C1444" t="s">
        <v>2162</v>
      </c>
      <c r="D1444">
        <v>2</v>
      </c>
      <c r="E1444" t="s">
        <v>1447</v>
      </c>
      <c r="F1444" t="s">
        <v>1960</v>
      </c>
      <c r="G1444" t="s">
        <v>1737</v>
      </c>
      <c r="H1444" t="s">
        <v>1799</v>
      </c>
      <c r="I1444" t="s">
        <v>1799</v>
      </c>
      <c r="J1444" t="s">
        <v>1799</v>
      </c>
      <c r="K1444" t="s">
        <v>1799</v>
      </c>
      <c r="L1444" t="s">
        <v>1487</v>
      </c>
      <c r="M1444" t="s">
        <v>1799</v>
      </c>
      <c r="N1444" t="s">
        <v>1799</v>
      </c>
      <c r="O1444" s="184" t="str">
        <f>"["&amp;$C1444&amp;"]["&amp;$D1444&amp;"]["&amp;$F1444&amp;"]"</f>
        <v>[S05_ImprovementReportArt69][2][InstallationCategory]</v>
      </c>
    </row>
    <row r="1445" spans="1:15" x14ac:dyDescent="0.3">
      <c r="A1445" t="s">
        <v>1793</v>
      </c>
      <c r="B1445" t="s">
        <v>2161</v>
      </c>
      <c r="C1445" t="s">
        <v>2162</v>
      </c>
      <c r="D1445">
        <v>3</v>
      </c>
      <c r="E1445" t="s">
        <v>1447</v>
      </c>
      <c r="F1445" t="s">
        <v>1960</v>
      </c>
      <c r="G1445" t="s">
        <v>1737</v>
      </c>
      <c r="H1445" t="s">
        <v>1799</v>
      </c>
      <c r="I1445" t="s">
        <v>1799</v>
      </c>
      <c r="J1445" t="s">
        <v>1799</v>
      </c>
      <c r="K1445" t="s">
        <v>1799</v>
      </c>
      <c r="L1445" t="s">
        <v>1487</v>
      </c>
      <c r="M1445" t="s">
        <v>1799</v>
      </c>
      <c r="N1445" t="s">
        <v>1799</v>
      </c>
      <c r="O1445" s="184" t="str">
        <f>"["&amp;$C1445&amp;"]["&amp;$D1445&amp;"]["&amp;$F1445&amp;"]"</f>
        <v>[S05_ImprovementReportArt69][3][InstallationCategory]</v>
      </c>
    </row>
    <row r="1446" spans="1:15" x14ac:dyDescent="0.3">
      <c r="A1446" t="s">
        <v>1793</v>
      </c>
      <c r="B1446" t="s">
        <v>2161</v>
      </c>
      <c r="C1446" t="s">
        <v>2162</v>
      </c>
      <c r="D1446">
        <v>4</v>
      </c>
      <c r="E1446" t="s">
        <v>1447</v>
      </c>
      <c r="F1446" t="s">
        <v>1960</v>
      </c>
      <c r="G1446" t="s">
        <v>1737</v>
      </c>
      <c r="H1446" t="s">
        <v>1799</v>
      </c>
      <c r="I1446" t="s">
        <v>1799</v>
      </c>
      <c r="J1446" t="s">
        <v>1799</v>
      </c>
      <c r="K1446" t="s">
        <v>1799</v>
      </c>
      <c r="L1446" t="s">
        <v>1487</v>
      </c>
      <c r="M1446" t="s">
        <v>1799</v>
      </c>
      <c r="N1446" t="s">
        <v>1799</v>
      </c>
      <c r="O1446" s="184" t="str">
        <f>"["&amp;$C1446&amp;"]["&amp;$D1446&amp;"]["&amp;$F1446&amp;"]"</f>
        <v>[S05_ImprovementReportArt69][4][InstallationCategory]</v>
      </c>
    </row>
    <row r="1447" spans="1:15" x14ac:dyDescent="0.3">
      <c r="A1447" t="s">
        <v>1793</v>
      </c>
      <c r="B1447" t="s">
        <v>2161</v>
      </c>
      <c r="C1447" t="s">
        <v>2162</v>
      </c>
      <c r="D1447">
        <v>5</v>
      </c>
      <c r="E1447" t="s">
        <v>1447</v>
      </c>
      <c r="F1447" t="s">
        <v>1960</v>
      </c>
      <c r="G1447" t="s">
        <v>1737</v>
      </c>
      <c r="H1447" t="s">
        <v>1799</v>
      </c>
      <c r="I1447" t="s">
        <v>1799</v>
      </c>
      <c r="J1447" t="s">
        <v>1799</v>
      </c>
      <c r="K1447" t="s">
        <v>1799</v>
      </c>
      <c r="L1447" t="s">
        <v>1487</v>
      </c>
      <c r="M1447" t="s">
        <v>1799</v>
      </c>
      <c r="N1447" t="s">
        <v>1799</v>
      </c>
      <c r="O1447" s="184" t="str">
        <f>"["&amp;$C1447&amp;"]["&amp;$D1447&amp;"]["&amp;$F1447&amp;"]"</f>
        <v>[S05_ImprovementReportArt69][5][InstallationCategory]</v>
      </c>
    </row>
    <row r="1448" spans="1:15" x14ac:dyDescent="0.3">
      <c r="A1448" t="s">
        <v>1793</v>
      </c>
      <c r="B1448" t="s">
        <v>2161</v>
      </c>
      <c r="C1448" t="s">
        <v>2162</v>
      </c>
      <c r="D1448">
        <v>6</v>
      </c>
      <c r="E1448" t="s">
        <v>1447</v>
      </c>
      <c r="F1448" t="s">
        <v>1960</v>
      </c>
      <c r="G1448" t="s">
        <v>1737</v>
      </c>
      <c r="H1448" t="s">
        <v>1799</v>
      </c>
      <c r="I1448" t="s">
        <v>1799</v>
      </c>
      <c r="J1448" t="s">
        <v>1799</v>
      </c>
      <c r="K1448" t="s">
        <v>1799</v>
      </c>
      <c r="L1448" t="s">
        <v>1487</v>
      </c>
      <c r="M1448" t="s">
        <v>1799</v>
      </c>
      <c r="N1448" t="s">
        <v>1799</v>
      </c>
      <c r="O1448" s="184" t="str">
        <f>"["&amp;$C1448&amp;"]["&amp;$D1448&amp;"]["&amp;$F1448&amp;"]"</f>
        <v>[S05_ImprovementReportArt69][6][InstallationCategory]</v>
      </c>
    </row>
    <row r="1449" spans="1:15" x14ac:dyDescent="0.3">
      <c r="A1449" t="s">
        <v>1793</v>
      </c>
      <c r="B1449" t="s">
        <v>2161</v>
      </c>
      <c r="C1449" t="s">
        <v>2162</v>
      </c>
      <c r="D1449">
        <v>7</v>
      </c>
      <c r="E1449" t="s">
        <v>1447</v>
      </c>
      <c r="F1449" t="s">
        <v>1960</v>
      </c>
      <c r="G1449" t="s">
        <v>1737</v>
      </c>
      <c r="H1449" t="s">
        <v>1799</v>
      </c>
      <c r="I1449" t="s">
        <v>1799</v>
      </c>
      <c r="J1449" t="s">
        <v>1799</v>
      </c>
      <c r="K1449" t="s">
        <v>1799</v>
      </c>
      <c r="L1449" t="s">
        <v>1460</v>
      </c>
      <c r="M1449" t="s">
        <v>1799</v>
      </c>
      <c r="N1449" t="s">
        <v>1799</v>
      </c>
      <c r="O1449" s="184" t="str">
        <f>"["&amp;$C1449&amp;"]["&amp;$D1449&amp;"]["&amp;$F1449&amp;"]"</f>
        <v>[S05_ImprovementReportArt69][7][InstallationCategory]</v>
      </c>
    </row>
    <row r="1450" spans="1:15" x14ac:dyDescent="0.3">
      <c r="A1450" t="s">
        <v>1793</v>
      </c>
      <c r="B1450" t="s">
        <v>2161</v>
      </c>
      <c r="C1450" t="s">
        <v>2162</v>
      </c>
      <c r="D1450">
        <v>8</v>
      </c>
      <c r="E1450" t="s">
        <v>1447</v>
      </c>
      <c r="F1450" t="s">
        <v>1960</v>
      </c>
      <c r="G1450" t="s">
        <v>1737</v>
      </c>
      <c r="H1450" t="s">
        <v>1799</v>
      </c>
      <c r="I1450" t="s">
        <v>1799</v>
      </c>
      <c r="J1450" t="s">
        <v>1799</v>
      </c>
      <c r="K1450" t="s">
        <v>1799</v>
      </c>
      <c r="L1450" t="s">
        <v>1460</v>
      </c>
      <c r="M1450" t="s">
        <v>1799</v>
      </c>
      <c r="N1450" t="s">
        <v>1799</v>
      </c>
      <c r="O1450" s="184" t="str">
        <f>"["&amp;$C1450&amp;"]["&amp;$D1450&amp;"]["&amp;$F1450&amp;"]"</f>
        <v>[S05_ImprovementReportArt69][8][InstallationCategory]</v>
      </c>
    </row>
    <row r="1451" spans="1:15" x14ac:dyDescent="0.3">
      <c r="A1451" t="s">
        <v>1793</v>
      </c>
      <c r="B1451" t="s">
        <v>2161</v>
      </c>
      <c r="C1451" t="s">
        <v>2162</v>
      </c>
      <c r="D1451">
        <v>9</v>
      </c>
      <c r="E1451" t="s">
        <v>1447</v>
      </c>
      <c r="F1451" t="s">
        <v>1960</v>
      </c>
      <c r="G1451" t="s">
        <v>1737</v>
      </c>
      <c r="H1451" t="s">
        <v>1799</v>
      </c>
      <c r="I1451" t="s">
        <v>1799</v>
      </c>
      <c r="J1451" t="s">
        <v>1799</v>
      </c>
      <c r="K1451" t="s">
        <v>1799</v>
      </c>
      <c r="L1451" t="s">
        <v>1460</v>
      </c>
      <c r="M1451" t="s">
        <v>1799</v>
      </c>
      <c r="N1451" t="s">
        <v>1799</v>
      </c>
      <c r="O1451" s="184" t="str">
        <f>"["&amp;$C1451&amp;"]["&amp;$D1451&amp;"]["&amp;$F1451&amp;"]"</f>
        <v>[S05_ImprovementReportArt69][9][InstallationCategory]</v>
      </c>
    </row>
    <row r="1452" spans="1:15" x14ac:dyDescent="0.3">
      <c r="A1452" t="s">
        <v>1793</v>
      </c>
      <c r="B1452" t="s">
        <v>2161</v>
      </c>
      <c r="C1452" t="s">
        <v>2162</v>
      </c>
      <c r="D1452">
        <v>10</v>
      </c>
      <c r="E1452" t="s">
        <v>1447</v>
      </c>
      <c r="F1452" t="s">
        <v>1960</v>
      </c>
      <c r="G1452" t="s">
        <v>1737</v>
      </c>
      <c r="H1452" t="s">
        <v>1799</v>
      </c>
      <c r="I1452" t="s">
        <v>1799</v>
      </c>
      <c r="J1452" t="s">
        <v>1799</v>
      </c>
      <c r="K1452" t="s">
        <v>1799</v>
      </c>
      <c r="L1452" t="s">
        <v>1460</v>
      </c>
      <c r="M1452" t="s">
        <v>1799</v>
      </c>
      <c r="N1452" t="s">
        <v>1799</v>
      </c>
      <c r="O1452" s="184" t="str">
        <f>"["&amp;$C1452&amp;"]["&amp;$D1452&amp;"]["&amp;$F1452&amp;"]"</f>
        <v>[S05_ImprovementReportArt69][10][InstallationCategory]</v>
      </c>
    </row>
    <row r="1453" spans="1:15" x14ac:dyDescent="0.3">
      <c r="A1453" t="s">
        <v>1793</v>
      </c>
      <c r="B1453" t="s">
        <v>2161</v>
      </c>
      <c r="C1453" t="s">
        <v>2162</v>
      </c>
      <c r="D1453">
        <v>11</v>
      </c>
      <c r="E1453" t="s">
        <v>1447</v>
      </c>
      <c r="F1453" t="s">
        <v>1960</v>
      </c>
      <c r="G1453" t="s">
        <v>1737</v>
      </c>
      <c r="H1453" t="s">
        <v>1799</v>
      </c>
      <c r="I1453" t="s">
        <v>1799</v>
      </c>
      <c r="J1453" t="s">
        <v>1799</v>
      </c>
      <c r="K1453" t="s">
        <v>1799</v>
      </c>
      <c r="L1453" t="s">
        <v>1460</v>
      </c>
      <c r="M1453" t="s">
        <v>1799</v>
      </c>
      <c r="N1453" t="s">
        <v>1799</v>
      </c>
      <c r="O1453" s="184" t="str">
        <f>"["&amp;$C1453&amp;"]["&amp;$D1453&amp;"]["&amp;$F1453&amp;"]"</f>
        <v>[S05_ImprovementReportArt69][11][InstallationCategory]</v>
      </c>
    </row>
    <row r="1454" spans="1:15" x14ac:dyDescent="0.3">
      <c r="A1454" t="s">
        <v>1793</v>
      </c>
      <c r="B1454" t="s">
        <v>2161</v>
      </c>
      <c r="C1454" t="s">
        <v>2162</v>
      </c>
      <c r="D1454">
        <v>12</v>
      </c>
      <c r="E1454" t="s">
        <v>1447</v>
      </c>
      <c r="F1454" t="s">
        <v>1960</v>
      </c>
      <c r="G1454" t="s">
        <v>1737</v>
      </c>
      <c r="H1454" t="s">
        <v>1799</v>
      </c>
      <c r="I1454" t="s">
        <v>1799</v>
      </c>
      <c r="J1454" t="s">
        <v>1799</v>
      </c>
      <c r="K1454" t="s">
        <v>1799</v>
      </c>
      <c r="L1454" t="s">
        <v>1460</v>
      </c>
      <c r="M1454" t="s">
        <v>1799</v>
      </c>
      <c r="N1454" t="s">
        <v>1799</v>
      </c>
      <c r="O1454" s="184" t="str">
        <f>"["&amp;$C1454&amp;"]["&amp;$D1454&amp;"]["&amp;$F1454&amp;"]"</f>
        <v>[S05_ImprovementReportArt69][12][InstallationCategory]</v>
      </c>
    </row>
    <row r="1455" spans="1:15" x14ac:dyDescent="0.3">
      <c r="A1455" t="s">
        <v>1793</v>
      </c>
      <c r="B1455" t="s">
        <v>2161</v>
      </c>
      <c r="C1455" t="s">
        <v>2162</v>
      </c>
      <c r="D1455">
        <v>13</v>
      </c>
      <c r="E1455" t="s">
        <v>1447</v>
      </c>
      <c r="F1455" t="s">
        <v>1960</v>
      </c>
      <c r="G1455" t="s">
        <v>1737</v>
      </c>
      <c r="H1455" t="s">
        <v>1799</v>
      </c>
      <c r="I1455" t="s">
        <v>1799</v>
      </c>
      <c r="J1455" t="s">
        <v>1799</v>
      </c>
      <c r="K1455" t="s">
        <v>1799</v>
      </c>
      <c r="L1455" t="s">
        <v>1460</v>
      </c>
      <c r="M1455" t="s">
        <v>1799</v>
      </c>
      <c r="N1455" t="s">
        <v>1799</v>
      </c>
      <c r="O1455" s="184" t="str">
        <f>"["&amp;$C1455&amp;"]["&amp;$D1455&amp;"]["&amp;$F1455&amp;"]"</f>
        <v>[S05_ImprovementReportArt69][13][InstallationCategory]</v>
      </c>
    </row>
    <row r="1456" spans="1:15" x14ac:dyDescent="0.3">
      <c r="A1456" t="s">
        <v>1793</v>
      </c>
      <c r="B1456" t="s">
        <v>2161</v>
      </c>
      <c r="C1456" t="s">
        <v>2162</v>
      </c>
      <c r="D1456">
        <v>14</v>
      </c>
      <c r="E1456" t="s">
        <v>1447</v>
      </c>
      <c r="F1456" t="s">
        <v>1960</v>
      </c>
      <c r="G1456" t="s">
        <v>1737</v>
      </c>
      <c r="H1456" t="s">
        <v>1799</v>
      </c>
      <c r="I1456" t="s">
        <v>1799</v>
      </c>
      <c r="J1456" t="s">
        <v>1799</v>
      </c>
      <c r="K1456" t="s">
        <v>1799</v>
      </c>
      <c r="L1456" t="s">
        <v>1460</v>
      </c>
      <c r="M1456" t="s">
        <v>1799</v>
      </c>
      <c r="N1456" t="s">
        <v>1799</v>
      </c>
      <c r="O1456" s="184" t="str">
        <f>"["&amp;$C1456&amp;"]["&amp;$D1456&amp;"]["&amp;$F1456&amp;"]"</f>
        <v>[S05_ImprovementReportArt69][14][InstallationCategory]</v>
      </c>
    </row>
    <row r="1457" spans="1:15" x14ac:dyDescent="0.3">
      <c r="A1457" t="s">
        <v>1793</v>
      </c>
      <c r="B1457" t="s">
        <v>2161</v>
      </c>
      <c r="C1457" t="s">
        <v>2162</v>
      </c>
      <c r="D1457">
        <v>15</v>
      </c>
      <c r="E1457" t="s">
        <v>1447</v>
      </c>
      <c r="F1457" t="s">
        <v>1960</v>
      </c>
      <c r="G1457" t="s">
        <v>1737</v>
      </c>
      <c r="H1457" t="s">
        <v>1799</v>
      </c>
      <c r="I1457" t="s">
        <v>1799</v>
      </c>
      <c r="J1457" t="s">
        <v>1799</v>
      </c>
      <c r="K1457" t="s">
        <v>1799</v>
      </c>
      <c r="L1457" t="s">
        <v>1460</v>
      </c>
      <c r="M1457" t="s">
        <v>1799</v>
      </c>
      <c r="N1457" t="s">
        <v>1799</v>
      </c>
      <c r="O1457" s="184" t="str">
        <f>"["&amp;$C1457&amp;"]["&amp;$D1457&amp;"]["&amp;$F1457&amp;"]"</f>
        <v>[S05_ImprovementReportArt69][15][InstallationCategory]</v>
      </c>
    </row>
    <row r="1458" spans="1:15" x14ac:dyDescent="0.3">
      <c r="A1458" t="s">
        <v>1793</v>
      </c>
      <c r="B1458" t="s">
        <v>2161</v>
      </c>
      <c r="C1458" t="s">
        <v>2162</v>
      </c>
      <c r="D1458">
        <v>16</v>
      </c>
      <c r="E1458" t="s">
        <v>1447</v>
      </c>
      <c r="F1458" t="s">
        <v>1960</v>
      </c>
      <c r="G1458" t="s">
        <v>1737</v>
      </c>
      <c r="H1458" t="s">
        <v>1799</v>
      </c>
      <c r="I1458" t="s">
        <v>1799</v>
      </c>
      <c r="J1458" t="s">
        <v>1799</v>
      </c>
      <c r="K1458" t="s">
        <v>1799</v>
      </c>
      <c r="L1458" t="s">
        <v>1460</v>
      </c>
      <c r="M1458" t="s">
        <v>1799</v>
      </c>
      <c r="N1458" t="s">
        <v>1799</v>
      </c>
      <c r="O1458" s="184" t="str">
        <f>"["&amp;$C1458&amp;"]["&amp;$D1458&amp;"]["&amp;$F1458&amp;"]"</f>
        <v>[S05_ImprovementReportArt69][16][InstallationCategory]</v>
      </c>
    </row>
    <row r="1459" spans="1:15" x14ac:dyDescent="0.3">
      <c r="A1459" t="s">
        <v>1793</v>
      </c>
      <c r="B1459" t="s">
        <v>2161</v>
      </c>
      <c r="C1459" t="s">
        <v>2162</v>
      </c>
      <c r="D1459">
        <v>17</v>
      </c>
      <c r="E1459" t="s">
        <v>1447</v>
      </c>
      <c r="F1459" t="s">
        <v>1960</v>
      </c>
      <c r="G1459" t="s">
        <v>1737</v>
      </c>
      <c r="H1459" t="s">
        <v>1799</v>
      </c>
      <c r="I1459" t="s">
        <v>1799</v>
      </c>
      <c r="J1459" t="s">
        <v>1799</v>
      </c>
      <c r="K1459" t="s">
        <v>1799</v>
      </c>
      <c r="L1459" t="s">
        <v>1460</v>
      </c>
      <c r="M1459" t="s">
        <v>1799</v>
      </c>
      <c r="N1459" t="s">
        <v>1799</v>
      </c>
      <c r="O1459" s="184" t="str">
        <f>"["&amp;$C1459&amp;"]["&amp;$D1459&amp;"]["&amp;$F1459&amp;"]"</f>
        <v>[S05_ImprovementReportArt69][17][InstallationCategory]</v>
      </c>
    </row>
    <row r="1460" spans="1:15" x14ac:dyDescent="0.3">
      <c r="A1460" t="s">
        <v>1793</v>
      </c>
      <c r="B1460" t="s">
        <v>2161</v>
      </c>
      <c r="C1460" t="s">
        <v>2162</v>
      </c>
      <c r="D1460">
        <v>18</v>
      </c>
      <c r="E1460" t="s">
        <v>1447</v>
      </c>
      <c r="F1460" t="s">
        <v>1960</v>
      </c>
      <c r="G1460" t="s">
        <v>1737</v>
      </c>
      <c r="H1460" t="s">
        <v>1799</v>
      </c>
      <c r="I1460" t="s">
        <v>1799</v>
      </c>
      <c r="J1460" t="s">
        <v>1799</v>
      </c>
      <c r="K1460" t="s">
        <v>1799</v>
      </c>
      <c r="L1460" t="s">
        <v>1460</v>
      </c>
      <c r="M1460" t="s">
        <v>1799</v>
      </c>
      <c r="N1460" t="s">
        <v>1799</v>
      </c>
      <c r="O1460" s="184" t="str">
        <f>"["&amp;$C1460&amp;"]["&amp;$D1460&amp;"]["&amp;$F1460&amp;"]"</f>
        <v>[S05_ImprovementReportArt69][18][InstallationCategory]</v>
      </c>
    </row>
    <row r="1461" spans="1:15" x14ac:dyDescent="0.3">
      <c r="A1461" t="s">
        <v>1793</v>
      </c>
      <c r="B1461" t="s">
        <v>2161</v>
      </c>
      <c r="C1461" t="s">
        <v>2162</v>
      </c>
      <c r="D1461">
        <v>19</v>
      </c>
      <c r="E1461" t="s">
        <v>1447</v>
      </c>
      <c r="F1461" t="s">
        <v>1960</v>
      </c>
      <c r="G1461" t="s">
        <v>1737</v>
      </c>
      <c r="H1461" t="s">
        <v>1799</v>
      </c>
      <c r="I1461" t="s">
        <v>1799</v>
      </c>
      <c r="J1461" t="s">
        <v>1799</v>
      </c>
      <c r="K1461" t="s">
        <v>1799</v>
      </c>
      <c r="L1461" t="s">
        <v>1460</v>
      </c>
      <c r="M1461" t="s">
        <v>1799</v>
      </c>
      <c r="N1461" t="s">
        <v>1799</v>
      </c>
      <c r="O1461" s="184" t="str">
        <f>"["&amp;$C1461&amp;"]["&amp;$D1461&amp;"]["&amp;$F1461&amp;"]"</f>
        <v>[S05_ImprovementReportArt69][19][InstallationCategory]</v>
      </c>
    </row>
    <row r="1462" spans="1:15" x14ac:dyDescent="0.3">
      <c r="A1462" t="s">
        <v>1793</v>
      </c>
      <c r="B1462" t="s">
        <v>2161</v>
      </c>
      <c r="C1462" t="s">
        <v>2162</v>
      </c>
      <c r="D1462">
        <v>20</v>
      </c>
      <c r="E1462" t="s">
        <v>1447</v>
      </c>
      <c r="F1462" t="s">
        <v>1960</v>
      </c>
      <c r="G1462" t="s">
        <v>1737</v>
      </c>
      <c r="H1462" t="s">
        <v>1799</v>
      </c>
      <c r="I1462" t="s">
        <v>1799</v>
      </c>
      <c r="J1462" t="s">
        <v>1799</v>
      </c>
      <c r="K1462" t="s">
        <v>1799</v>
      </c>
      <c r="L1462" t="s">
        <v>1432</v>
      </c>
      <c r="M1462" t="s">
        <v>1799</v>
      </c>
      <c r="N1462" t="s">
        <v>1799</v>
      </c>
      <c r="O1462" s="184" t="str">
        <f>"["&amp;$C1462&amp;"]["&amp;$D1462&amp;"]["&amp;$F1462&amp;"]"</f>
        <v>[S05_ImprovementReportArt69][20][InstallationCategory]</v>
      </c>
    </row>
    <row r="1463" spans="1:15" x14ac:dyDescent="0.3">
      <c r="A1463" t="s">
        <v>1793</v>
      </c>
      <c r="B1463" t="s">
        <v>2161</v>
      </c>
      <c r="C1463" t="s">
        <v>2162</v>
      </c>
      <c r="D1463">
        <v>21</v>
      </c>
      <c r="E1463" t="s">
        <v>1447</v>
      </c>
      <c r="F1463" t="s">
        <v>1960</v>
      </c>
      <c r="G1463" t="s">
        <v>1737</v>
      </c>
      <c r="H1463" t="s">
        <v>1799</v>
      </c>
      <c r="I1463" t="s">
        <v>1799</v>
      </c>
      <c r="J1463" t="s">
        <v>1799</v>
      </c>
      <c r="K1463" t="s">
        <v>1799</v>
      </c>
      <c r="L1463" t="s">
        <v>1432</v>
      </c>
      <c r="M1463" t="s">
        <v>1799</v>
      </c>
      <c r="N1463" t="s">
        <v>1799</v>
      </c>
      <c r="O1463" s="184" t="str">
        <f>"["&amp;$C1463&amp;"]["&amp;$D1463&amp;"]["&amp;$F1463&amp;"]"</f>
        <v>[S05_ImprovementReportArt69][21][InstallationCategory]</v>
      </c>
    </row>
    <row r="1464" spans="1:15" x14ac:dyDescent="0.3">
      <c r="A1464" t="s">
        <v>1793</v>
      </c>
      <c r="B1464" t="s">
        <v>2161</v>
      </c>
      <c r="C1464" t="s">
        <v>2162</v>
      </c>
      <c r="D1464">
        <v>22</v>
      </c>
      <c r="E1464" t="s">
        <v>1447</v>
      </c>
      <c r="F1464" t="s">
        <v>1960</v>
      </c>
      <c r="G1464" t="s">
        <v>1737</v>
      </c>
      <c r="H1464" t="s">
        <v>1799</v>
      </c>
      <c r="I1464" t="s">
        <v>1799</v>
      </c>
      <c r="J1464" t="s">
        <v>1799</v>
      </c>
      <c r="K1464" t="s">
        <v>1799</v>
      </c>
      <c r="L1464" t="s">
        <v>1432</v>
      </c>
      <c r="M1464" t="s">
        <v>1799</v>
      </c>
      <c r="N1464" t="s">
        <v>1799</v>
      </c>
      <c r="O1464" s="184" t="str">
        <f>"["&amp;$C1464&amp;"]["&amp;$D1464&amp;"]["&amp;$F1464&amp;"]"</f>
        <v>[S05_ImprovementReportArt69][22][InstallationCategory]</v>
      </c>
    </row>
    <row r="1465" spans="1:15" x14ac:dyDescent="0.3">
      <c r="A1465" t="s">
        <v>1793</v>
      </c>
      <c r="B1465" t="s">
        <v>2161</v>
      </c>
      <c r="C1465" t="s">
        <v>2162</v>
      </c>
      <c r="D1465">
        <v>23</v>
      </c>
      <c r="E1465" t="s">
        <v>1447</v>
      </c>
      <c r="F1465" t="s">
        <v>1960</v>
      </c>
      <c r="G1465" t="s">
        <v>1737</v>
      </c>
      <c r="H1465" t="s">
        <v>1799</v>
      </c>
      <c r="I1465" t="s">
        <v>1799</v>
      </c>
      <c r="J1465" t="s">
        <v>1799</v>
      </c>
      <c r="K1465" t="s">
        <v>1799</v>
      </c>
      <c r="L1465" t="s">
        <v>1432</v>
      </c>
      <c r="M1465" t="s">
        <v>1799</v>
      </c>
      <c r="N1465" t="s">
        <v>1799</v>
      </c>
      <c r="O1465" s="184" t="str">
        <f>"["&amp;$C1465&amp;"]["&amp;$D1465&amp;"]["&amp;$F1465&amp;"]"</f>
        <v>[S05_ImprovementReportArt69][23][InstallationCategory]</v>
      </c>
    </row>
    <row r="1466" spans="1:15" x14ac:dyDescent="0.3">
      <c r="A1466" t="s">
        <v>1793</v>
      </c>
      <c r="B1466" t="s">
        <v>2161</v>
      </c>
      <c r="C1466" t="s">
        <v>2162</v>
      </c>
      <c r="D1466">
        <v>24</v>
      </c>
      <c r="E1466" t="s">
        <v>1447</v>
      </c>
      <c r="F1466" t="s">
        <v>1960</v>
      </c>
      <c r="G1466" t="s">
        <v>1737</v>
      </c>
      <c r="H1466" t="s">
        <v>1799</v>
      </c>
      <c r="I1466" t="s">
        <v>1799</v>
      </c>
      <c r="J1466" t="s">
        <v>1799</v>
      </c>
      <c r="K1466" t="s">
        <v>1799</v>
      </c>
      <c r="L1466" t="s">
        <v>1432</v>
      </c>
      <c r="M1466" t="s">
        <v>1799</v>
      </c>
      <c r="N1466" t="s">
        <v>1799</v>
      </c>
      <c r="O1466" s="184" t="str">
        <f>"["&amp;$C1466&amp;"]["&amp;$D1466&amp;"]["&amp;$F1466&amp;"]"</f>
        <v>[S05_ImprovementReportArt69][24][InstallationCategory]</v>
      </c>
    </row>
    <row r="1467" spans="1:15" x14ac:dyDescent="0.3">
      <c r="A1467" t="s">
        <v>1793</v>
      </c>
      <c r="B1467" t="s">
        <v>2161</v>
      </c>
      <c r="C1467" t="s">
        <v>2162</v>
      </c>
      <c r="D1467">
        <v>25</v>
      </c>
      <c r="E1467" t="s">
        <v>1447</v>
      </c>
      <c r="F1467" t="s">
        <v>1960</v>
      </c>
      <c r="G1467" t="s">
        <v>1737</v>
      </c>
      <c r="H1467" t="s">
        <v>1799</v>
      </c>
      <c r="I1467" t="s">
        <v>1799</v>
      </c>
      <c r="J1467" t="s">
        <v>1799</v>
      </c>
      <c r="K1467" t="s">
        <v>1799</v>
      </c>
      <c r="L1467" t="s">
        <v>1432</v>
      </c>
      <c r="M1467" t="s">
        <v>1799</v>
      </c>
      <c r="N1467" t="s">
        <v>1799</v>
      </c>
      <c r="O1467" s="184" t="str">
        <f>"["&amp;$C1467&amp;"]["&amp;$D1467&amp;"]["&amp;$F1467&amp;"]"</f>
        <v>[S05_ImprovementReportArt69][25][InstallationCategory]</v>
      </c>
    </row>
    <row r="1468" spans="1:15" x14ac:dyDescent="0.3">
      <c r="A1468" t="s">
        <v>1793</v>
      </c>
      <c r="B1468" t="s">
        <v>2161</v>
      </c>
      <c r="C1468" t="s">
        <v>2162</v>
      </c>
      <c r="D1468">
        <v>26</v>
      </c>
      <c r="E1468" t="s">
        <v>1447</v>
      </c>
      <c r="F1468" t="s">
        <v>1960</v>
      </c>
      <c r="G1468" t="s">
        <v>1737</v>
      </c>
      <c r="H1468" t="s">
        <v>1799</v>
      </c>
      <c r="I1468" t="s">
        <v>1799</v>
      </c>
      <c r="J1468" t="s">
        <v>1799</v>
      </c>
      <c r="K1468" t="s">
        <v>1799</v>
      </c>
      <c r="L1468" t="s">
        <v>1432</v>
      </c>
      <c r="M1468" t="s">
        <v>1799</v>
      </c>
      <c r="N1468" t="s">
        <v>1799</v>
      </c>
      <c r="O1468" s="184" t="str">
        <f>"["&amp;$C1468&amp;"]["&amp;$D1468&amp;"]["&amp;$F1468&amp;"]"</f>
        <v>[S05_ImprovementReportArt69][26][InstallationCategory]</v>
      </c>
    </row>
    <row r="1469" spans="1:15" x14ac:dyDescent="0.3">
      <c r="A1469" t="s">
        <v>1793</v>
      </c>
      <c r="B1469" t="s">
        <v>2161</v>
      </c>
      <c r="C1469" t="s">
        <v>2162</v>
      </c>
      <c r="D1469">
        <v>27</v>
      </c>
      <c r="E1469" t="s">
        <v>1447</v>
      </c>
      <c r="F1469" t="s">
        <v>1960</v>
      </c>
      <c r="G1469" t="s">
        <v>1737</v>
      </c>
      <c r="H1469" t="s">
        <v>1799</v>
      </c>
      <c r="I1469" t="s">
        <v>1799</v>
      </c>
      <c r="J1469" t="s">
        <v>1799</v>
      </c>
      <c r="K1469" t="s">
        <v>1799</v>
      </c>
      <c r="L1469" t="s">
        <v>1432</v>
      </c>
      <c r="M1469" t="s">
        <v>1799</v>
      </c>
      <c r="N1469" t="s">
        <v>1799</v>
      </c>
      <c r="O1469" s="184" t="str">
        <f>"["&amp;$C1469&amp;"]["&amp;$D1469&amp;"]["&amp;$F1469&amp;"]"</f>
        <v>[S05_ImprovementReportArt69][27][InstallationCategory]</v>
      </c>
    </row>
    <row r="1470" spans="1:15" x14ac:dyDescent="0.3">
      <c r="A1470" t="s">
        <v>1793</v>
      </c>
      <c r="B1470" t="s">
        <v>2161</v>
      </c>
      <c r="C1470" t="s">
        <v>2162</v>
      </c>
      <c r="D1470">
        <v>1</v>
      </c>
      <c r="E1470" t="s">
        <v>1447</v>
      </c>
      <c r="F1470" t="s">
        <v>2163</v>
      </c>
      <c r="G1470" t="s">
        <v>1737</v>
      </c>
      <c r="H1470" t="s">
        <v>1799</v>
      </c>
      <c r="I1470" t="s">
        <v>1799</v>
      </c>
      <c r="J1470" t="s">
        <v>1799</v>
      </c>
      <c r="K1470" t="s">
        <v>1799</v>
      </c>
      <c r="L1470" t="s">
        <v>1448</v>
      </c>
      <c r="M1470" t="s">
        <v>1799</v>
      </c>
      <c r="N1470" t="s">
        <v>1799</v>
      </c>
      <c r="O1470" s="184" t="str">
        <f>"["&amp;$C1470&amp;"]["&amp;$D1470&amp;"]["&amp;$F1470&amp;"]"</f>
        <v>[S05_ImprovementReportArt69][1][Annex1Activity]</v>
      </c>
    </row>
    <row r="1471" spans="1:15" x14ac:dyDescent="0.3">
      <c r="A1471" t="s">
        <v>1793</v>
      </c>
      <c r="B1471" t="s">
        <v>2161</v>
      </c>
      <c r="C1471" t="s">
        <v>2162</v>
      </c>
      <c r="D1471">
        <v>2</v>
      </c>
      <c r="E1471" t="s">
        <v>1447</v>
      </c>
      <c r="F1471" t="s">
        <v>2163</v>
      </c>
      <c r="G1471" t="s">
        <v>1737</v>
      </c>
      <c r="H1471" t="s">
        <v>1799</v>
      </c>
      <c r="I1471" t="s">
        <v>1799</v>
      </c>
      <c r="J1471" t="s">
        <v>1799</v>
      </c>
      <c r="K1471" t="s">
        <v>1799</v>
      </c>
      <c r="L1471" t="s">
        <v>1518</v>
      </c>
      <c r="M1471" t="s">
        <v>1799</v>
      </c>
      <c r="N1471" t="s">
        <v>1799</v>
      </c>
      <c r="O1471" s="184" t="str">
        <f>"["&amp;$C1471&amp;"]["&amp;$D1471&amp;"]["&amp;$F1471&amp;"]"</f>
        <v>[S05_ImprovementReportArt69][2][Annex1Activity]</v>
      </c>
    </row>
    <row r="1472" spans="1:15" x14ac:dyDescent="0.3">
      <c r="A1472" t="s">
        <v>1793</v>
      </c>
      <c r="B1472" t="s">
        <v>2161</v>
      </c>
      <c r="C1472" t="s">
        <v>2162</v>
      </c>
      <c r="D1472">
        <v>3</v>
      </c>
      <c r="E1472" t="s">
        <v>1447</v>
      </c>
      <c r="F1472" t="s">
        <v>2163</v>
      </c>
      <c r="G1472" t="s">
        <v>1737</v>
      </c>
      <c r="H1472" t="s">
        <v>1799</v>
      </c>
      <c r="I1472" t="s">
        <v>1799</v>
      </c>
      <c r="J1472" t="s">
        <v>1799</v>
      </c>
      <c r="K1472" t="s">
        <v>1799</v>
      </c>
      <c r="L1472" t="s">
        <v>1478</v>
      </c>
      <c r="M1472" t="s">
        <v>1799</v>
      </c>
      <c r="N1472" t="s">
        <v>1799</v>
      </c>
      <c r="O1472" s="184" t="str">
        <f>"["&amp;$C1472&amp;"]["&amp;$D1472&amp;"]["&amp;$F1472&amp;"]"</f>
        <v>[S05_ImprovementReportArt69][3][Annex1Activity]</v>
      </c>
    </row>
    <row r="1473" spans="1:15" x14ac:dyDescent="0.3">
      <c r="A1473" t="s">
        <v>1793</v>
      </c>
      <c r="B1473" t="s">
        <v>2161</v>
      </c>
      <c r="C1473" t="s">
        <v>2162</v>
      </c>
      <c r="D1473">
        <v>4</v>
      </c>
      <c r="E1473" t="s">
        <v>1447</v>
      </c>
      <c r="F1473" t="s">
        <v>2163</v>
      </c>
      <c r="G1473" t="s">
        <v>1737</v>
      </c>
      <c r="H1473" t="s">
        <v>1799</v>
      </c>
      <c r="I1473" t="s">
        <v>1799</v>
      </c>
      <c r="J1473" t="s">
        <v>1799</v>
      </c>
      <c r="K1473" t="s">
        <v>1799</v>
      </c>
      <c r="L1473" t="s">
        <v>1420</v>
      </c>
      <c r="M1473" t="s">
        <v>1799</v>
      </c>
      <c r="N1473" t="s">
        <v>1799</v>
      </c>
      <c r="O1473" s="184" t="str">
        <f>"["&amp;$C1473&amp;"]["&amp;$D1473&amp;"]["&amp;$F1473&amp;"]"</f>
        <v>[S05_ImprovementReportArt69][4][Annex1Activity]</v>
      </c>
    </row>
    <row r="1474" spans="1:15" x14ac:dyDescent="0.3">
      <c r="A1474" t="s">
        <v>1793</v>
      </c>
      <c r="B1474" t="s">
        <v>2161</v>
      </c>
      <c r="C1474" t="s">
        <v>2162</v>
      </c>
      <c r="D1474">
        <v>5</v>
      </c>
      <c r="E1474" t="s">
        <v>1447</v>
      </c>
      <c r="F1474" t="s">
        <v>2163</v>
      </c>
      <c r="G1474" t="s">
        <v>1737</v>
      </c>
      <c r="H1474" t="s">
        <v>1799</v>
      </c>
      <c r="I1474" t="s">
        <v>1799</v>
      </c>
      <c r="J1474" t="s">
        <v>1799</v>
      </c>
      <c r="K1474" t="s">
        <v>1799</v>
      </c>
      <c r="L1474" t="s">
        <v>1622</v>
      </c>
      <c r="M1474" t="s">
        <v>1799</v>
      </c>
      <c r="N1474" t="s">
        <v>1799</v>
      </c>
      <c r="O1474" s="184" t="str">
        <f>"["&amp;$C1474&amp;"]["&amp;$D1474&amp;"]["&amp;$F1474&amp;"]"</f>
        <v>[S05_ImprovementReportArt69][5][Annex1Activity]</v>
      </c>
    </row>
    <row r="1475" spans="1:15" x14ac:dyDescent="0.3">
      <c r="A1475" t="s">
        <v>1793</v>
      </c>
      <c r="B1475" t="s">
        <v>2161</v>
      </c>
      <c r="C1475" t="s">
        <v>2162</v>
      </c>
      <c r="D1475">
        <v>6</v>
      </c>
      <c r="E1475" t="s">
        <v>1447</v>
      </c>
      <c r="F1475" t="s">
        <v>2163</v>
      </c>
      <c r="G1475" t="s">
        <v>1737</v>
      </c>
      <c r="H1475" t="s">
        <v>1799</v>
      </c>
      <c r="I1475" t="s">
        <v>1799</v>
      </c>
      <c r="J1475" t="s">
        <v>1799</v>
      </c>
      <c r="K1475" t="s">
        <v>1799</v>
      </c>
      <c r="L1475" t="s">
        <v>1607</v>
      </c>
      <c r="M1475" t="s">
        <v>1799</v>
      </c>
      <c r="N1475" t="s">
        <v>1799</v>
      </c>
      <c r="O1475" s="184" t="str">
        <f>"["&amp;$C1475&amp;"]["&amp;$D1475&amp;"]["&amp;$F1475&amp;"]"</f>
        <v>[S05_ImprovementReportArt69][6][Annex1Activity]</v>
      </c>
    </row>
    <row r="1476" spans="1:15" x14ac:dyDescent="0.3">
      <c r="A1476" t="s">
        <v>1793</v>
      </c>
      <c r="B1476" t="s">
        <v>2161</v>
      </c>
      <c r="C1476" t="s">
        <v>2162</v>
      </c>
      <c r="D1476">
        <v>7</v>
      </c>
      <c r="E1476" t="s">
        <v>1447</v>
      </c>
      <c r="F1476" t="s">
        <v>2163</v>
      </c>
      <c r="G1476" t="s">
        <v>1737</v>
      </c>
      <c r="H1476" t="s">
        <v>1799</v>
      </c>
      <c r="I1476" t="s">
        <v>1799</v>
      </c>
      <c r="J1476" t="s">
        <v>1799</v>
      </c>
      <c r="K1476" t="s">
        <v>1799</v>
      </c>
      <c r="L1476" t="s">
        <v>1518</v>
      </c>
      <c r="M1476" t="s">
        <v>1799</v>
      </c>
      <c r="N1476" t="s">
        <v>1799</v>
      </c>
      <c r="O1476" s="184" t="str">
        <f>"["&amp;$C1476&amp;"]["&amp;$D1476&amp;"]["&amp;$F1476&amp;"]"</f>
        <v>[S05_ImprovementReportArt69][7][Annex1Activity]</v>
      </c>
    </row>
    <row r="1477" spans="1:15" x14ac:dyDescent="0.3">
      <c r="A1477" t="s">
        <v>1793</v>
      </c>
      <c r="B1477" t="s">
        <v>2161</v>
      </c>
      <c r="C1477" t="s">
        <v>2162</v>
      </c>
      <c r="D1477">
        <v>8</v>
      </c>
      <c r="E1477" t="s">
        <v>1447</v>
      </c>
      <c r="F1477" t="s">
        <v>2163</v>
      </c>
      <c r="G1477" t="s">
        <v>1737</v>
      </c>
      <c r="H1477" t="s">
        <v>1799</v>
      </c>
      <c r="I1477" t="s">
        <v>1799</v>
      </c>
      <c r="J1477" t="s">
        <v>1799</v>
      </c>
      <c r="K1477" t="s">
        <v>1799</v>
      </c>
      <c r="L1477" t="s">
        <v>1420</v>
      </c>
      <c r="M1477" t="s">
        <v>1799</v>
      </c>
      <c r="N1477" t="s">
        <v>1799</v>
      </c>
      <c r="O1477" s="184" t="str">
        <f>"["&amp;$C1477&amp;"]["&amp;$D1477&amp;"]["&amp;$F1477&amp;"]"</f>
        <v>[S05_ImprovementReportArt69][8][Annex1Activity]</v>
      </c>
    </row>
    <row r="1478" spans="1:15" x14ac:dyDescent="0.3">
      <c r="A1478" t="s">
        <v>1793</v>
      </c>
      <c r="B1478" t="s">
        <v>2161</v>
      </c>
      <c r="C1478" t="s">
        <v>2162</v>
      </c>
      <c r="D1478">
        <v>9</v>
      </c>
      <c r="E1478" t="s">
        <v>1447</v>
      </c>
      <c r="F1478" t="s">
        <v>2163</v>
      </c>
      <c r="G1478" t="s">
        <v>1737</v>
      </c>
      <c r="H1478" t="s">
        <v>1799</v>
      </c>
      <c r="I1478" t="s">
        <v>1799</v>
      </c>
      <c r="J1478" t="s">
        <v>1799</v>
      </c>
      <c r="K1478" t="s">
        <v>1799</v>
      </c>
      <c r="L1478" t="s">
        <v>1607</v>
      </c>
      <c r="M1478" t="s">
        <v>1799</v>
      </c>
      <c r="N1478" t="s">
        <v>1799</v>
      </c>
      <c r="O1478" s="184" t="str">
        <f>"["&amp;$C1478&amp;"]["&amp;$D1478&amp;"]["&amp;$F1478&amp;"]"</f>
        <v>[S05_ImprovementReportArt69][9][Annex1Activity]</v>
      </c>
    </row>
    <row r="1479" spans="1:15" x14ac:dyDescent="0.3">
      <c r="A1479" t="s">
        <v>1793</v>
      </c>
      <c r="B1479" t="s">
        <v>2161</v>
      </c>
      <c r="C1479" t="s">
        <v>2162</v>
      </c>
      <c r="D1479">
        <v>10</v>
      </c>
      <c r="E1479" t="s">
        <v>1447</v>
      </c>
      <c r="F1479" t="s">
        <v>2163</v>
      </c>
      <c r="G1479" t="s">
        <v>1737</v>
      </c>
      <c r="H1479" t="s">
        <v>1799</v>
      </c>
      <c r="I1479" t="s">
        <v>1799</v>
      </c>
      <c r="J1479" t="s">
        <v>1799</v>
      </c>
      <c r="K1479" t="s">
        <v>1799</v>
      </c>
      <c r="L1479" t="s">
        <v>1530</v>
      </c>
      <c r="M1479" t="s">
        <v>1799</v>
      </c>
      <c r="N1479" t="s">
        <v>1799</v>
      </c>
      <c r="O1479" s="184" t="str">
        <f>"["&amp;$C1479&amp;"]["&amp;$D1479&amp;"]["&amp;$F1479&amp;"]"</f>
        <v>[S05_ImprovementReportArt69][10][Annex1Activity]</v>
      </c>
    </row>
    <row r="1480" spans="1:15" x14ac:dyDescent="0.3">
      <c r="A1480" t="s">
        <v>1793</v>
      </c>
      <c r="B1480" t="s">
        <v>2161</v>
      </c>
      <c r="C1480" t="s">
        <v>2162</v>
      </c>
      <c r="D1480">
        <v>11</v>
      </c>
      <c r="E1480" t="s">
        <v>1447</v>
      </c>
      <c r="F1480" t="s">
        <v>2163</v>
      </c>
      <c r="G1480" t="s">
        <v>1737</v>
      </c>
      <c r="H1480" t="s">
        <v>1799</v>
      </c>
      <c r="I1480" t="s">
        <v>1799</v>
      </c>
      <c r="J1480" t="s">
        <v>1799</v>
      </c>
      <c r="K1480" t="s">
        <v>1799</v>
      </c>
      <c r="L1480" t="s">
        <v>1562</v>
      </c>
      <c r="M1480" t="s">
        <v>1799</v>
      </c>
      <c r="N1480" t="s">
        <v>1799</v>
      </c>
      <c r="O1480" s="184" t="str">
        <f>"["&amp;$C1480&amp;"]["&amp;$D1480&amp;"]["&amp;$F1480&amp;"]"</f>
        <v>[S05_ImprovementReportArt69][11][Annex1Activity]</v>
      </c>
    </row>
    <row r="1481" spans="1:15" x14ac:dyDescent="0.3">
      <c r="A1481" t="s">
        <v>1793</v>
      </c>
      <c r="B1481" t="s">
        <v>2161</v>
      </c>
      <c r="C1481" t="s">
        <v>2162</v>
      </c>
      <c r="D1481">
        <v>12</v>
      </c>
      <c r="E1481" t="s">
        <v>1447</v>
      </c>
      <c r="F1481" t="s">
        <v>2163</v>
      </c>
      <c r="G1481" t="s">
        <v>1737</v>
      </c>
      <c r="H1481" t="s">
        <v>1799</v>
      </c>
      <c r="I1481" t="s">
        <v>1799</v>
      </c>
      <c r="J1481" t="s">
        <v>1799</v>
      </c>
      <c r="K1481" t="s">
        <v>1799</v>
      </c>
      <c r="L1481" t="s">
        <v>1568</v>
      </c>
      <c r="M1481" t="s">
        <v>1799</v>
      </c>
      <c r="N1481" t="s">
        <v>1799</v>
      </c>
      <c r="O1481" s="184" t="str">
        <f>"["&amp;$C1481&amp;"]["&amp;$D1481&amp;"]["&amp;$F1481&amp;"]"</f>
        <v>[S05_ImprovementReportArt69][12][Annex1Activity]</v>
      </c>
    </row>
    <row r="1482" spans="1:15" x14ac:dyDescent="0.3">
      <c r="A1482" t="s">
        <v>1793</v>
      </c>
      <c r="B1482" t="s">
        <v>2161</v>
      </c>
      <c r="C1482" t="s">
        <v>2162</v>
      </c>
      <c r="D1482">
        <v>13</v>
      </c>
      <c r="E1482" t="s">
        <v>1447</v>
      </c>
      <c r="F1482" t="s">
        <v>2163</v>
      </c>
      <c r="G1482" t="s">
        <v>1737</v>
      </c>
      <c r="H1482" t="s">
        <v>1799</v>
      </c>
      <c r="I1482" t="s">
        <v>1799</v>
      </c>
      <c r="J1482" t="s">
        <v>1799</v>
      </c>
      <c r="K1482" t="s">
        <v>1799</v>
      </c>
      <c r="L1482" t="s">
        <v>1573</v>
      </c>
      <c r="M1482" t="s">
        <v>1799</v>
      </c>
      <c r="N1482" t="s">
        <v>1799</v>
      </c>
      <c r="O1482" s="184" t="str">
        <f>"["&amp;$C1482&amp;"]["&amp;$D1482&amp;"]["&amp;$F1482&amp;"]"</f>
        <v>[S05_ImprovementReportArt69][13][Annex1Activity]</v>
      </c>
    </row>
    <row r="1483" spans="1:15" x14ac:dyDescent="0.3">
      <c r="A1483" t="s">
        <v>1793</v>
      </c>
      <c r="B1483" t="s">
        <v>2161</v>
      </c>
      <c r="C1483" t="s">
        <v>2162</v>
      </c>
      <c r="D1483">
        <v>14</v>
      </c>
      <c r="E1483" t="s">
        <v>1447</v>
      </c>
      <c r="F1483" t="s">
        <v>2163</v>
      </c>
      <c r="G1483" t="s">
        <v>1737</v>
      </c>
      <c r="H1483" t="s">
        <v>1799</v>
      </c>
      <c r="I1483" t="s">
        <v>1799</v>
      </c>
      <c r="J1483" t="s">
        <v>1799</v>
      </c>
      <c r="K1483" t="s">
        <v>1799</v>
      </c>
      <c r="L1483" t="s">
        <v>1597</v>
      </c>
      <c r="M1483" t="s">
        <v>1799</v>
      </c>
      <c r="N1483" t="s">
        <v>1799</v>
      </c>
      <c r="O1483" s="184" t="str">
        <f>"["&amp;$C1483&amp;"]["&amp;$D1483&amp;"]["&amp;$F1483&amp;"]"</f>
        <v>[S05_ImprovementReportArt69][14][Annex1Activity]</v>
      </c>
    </row>
    <row r="1484" spans="1:15" x14ac:dyDescent="0.3">
      <c r="A1484" t="s">
        <v>1793</v>
      </c>
      <c r="B1484" t="s">
        <v>2161</v>
      </c>
      <c r="C1484" t="s">
        <v>2162</v>
      </c>
      <c r="D1484">
        <v>15</v>
      </c>
      <c r="E1484" t="s">
        <v>1447</v>
      </c>
      <c r="F1484" t="s">
        <v>2163</v>
      </c>
      <c r="G1484" t="s">
        <v>1737</v>
      </c>
      <c r="H1484" t="s">
        <v>1799</v>
      </c>
      <c r="I1484" t="s">
        <v>1799</v>
      </c>
      <c r="J1484" t="s">
        <v>1799</v>
      </c>
      <c r="K1484" t="s">
        <v>1799</v>
      </c>
      <c r="L1484" t="s">
        <v>1631</v>
      </c>
      <c r="M1484" t="s">
        <v>1799</v>
      </c>
      <c r="N1484" t="s">
        <v>1799</v>
      </c>
      <c r="O1484" s="184" t="str">
        <f>"["&amp;$C1484&amp;"]["&amp;$D1484&amp;"]["&amp;$F1484&amp;"]"</f>
        <v>[S05_ImprovementReportArt69][15][Annex1Activity]</v>
      </c>
    </row>
    <row r="1485" spans="1:15" x14ac:dyDescent="0.3">
      <c r="A1485" t="s">
        <v>1793</v>
      </c>
      <c r="B1485" t="s">
        <v>2161</v>
      </c>
      <c r="C1485" t="s">
        <v>2162</v>
      </c>
      <c r="D1485">
        <v>16</v>
      </c>
      <c r="E1485" t="s">
        <v>1447</v>
      </c>
      <c r="F1485" t="s">
        <v>2163</v>
      </c>
      <c r="G1485" t="s">
        <v>1737</v>
      </c>
      <c r="H1485" t="s">
        <v>1799</v>
      </c>
      <c r="I1485" t="s">
        <v>1799</v>
      </c>
      <c r="J1485" t="s">
        <v>1799</v>
      </c>
      <c r="K1485" t="s">
        <v>1799</v>
      </c>
      <c r="L1485" t="s">
        <v>1626</v>
      </c>
      <c r="M1485" t="s">
        <v>1799</v>
      </c>
      <c r="N1485" t="s">
        <v>1799</v>
      </c>
      <c r="O1485" s="184" t="str">
        <f>"["&amp;$C1485&amp;"]["&amp;$D1485&amp;"]["&amp;$F1485&amp;"]"</f>
        <v>[S05_ImprovementReportArt69][16][Annex1Activity]</v>
      </c>
    </row>
    <row r="1486" spans="1:15" x14ac:dyDescent="0.3">
      <c r="A1486" t="s">
        <v>1793</v>
      </c>
      <c r="B1486" t="s">
        <v>2161</v>
      </c>
      <c r="C1486" t="s">
        <v>2162</v>
      </c>
      <c r="D1486">
        <v>17</v>
      </c>
      <c r="E1486" t="s">
        <v>1447</v>
      </c>
      <c r="F1486" t="s">
        <v>2163</v>
      </c>
      <c r="G1486" t="s">
        <v>1737</v>
      </c>
      <c r="H1486" t="s">
        <v>1799</v>
      </c>
      <c r="I1486" t="s">
        <v>1799</v>
      </c>
      <c r="J1486" t="s">
        <v>1799</v>
      </c>
      <c r="K1486" t="s">
        <v>1799</v>
      </c>
      <c r="L1486" t="s">
        <v>1557</v>
      </c>
      <c r="M1486" t="s">
        <v>1799</v>
      </c>
      <c r="N1486" t="s">
        <v>1799</v>
      </c>
      <c r="O1486" s="184" t="str">
        <f>"["&amp;$C1486&amp;"]["&amp;$D1486&amp;"]["&amp;$F1486&amp;"]"</f>
        <v>[S05_ImprovementReportArt69][17][Annex1Activity]</v>
      </c>
    </row>
    <row r="1487" spans="1:15" x14ac:dyDescent="0.3">
      <c r="A1487" t="s">
        <v>1793</v>
      </c>
      <c r="B1487" t="s">
        <v>2161</v>
      </c>
      <c r="C1487" t="s">
        <v>2162</v>
      </c>
      <c r="D1487">
        <v>18</v>
      </c>
      <c r="E1487" t="s">
        <v>1447</v>
      </c>
      <c r="F1487" t="s">
        <v>2163</v>
      </c>
      <c r="G1487" t="s">
        <v>1737</v>
      </c>
      <c r="H1487" t="s">
        <v>1799</v>
      </c>
      <c r="I1487" t="s">
        <v>1799</v>
      </c>
      <c r="J1487" t="s">
        <v>1799</v>
      </c>
      <c r="K1487" t="s">
        <v>1799</v>
      </c>
      <c r="L1487" t="s">
        <v>1636</v>
      </c>
      <c r="M1487" t="s">
        <v>1799</v>
      </c>
      <c r="N1487" t="s">
        <v>1799</v>
      </c>
      <c r="O1487" s="184" t="str">
        <f>"["&amp;$C1487&amp;"]["&amp;$D1487&amp;"]["&amp;$F1487&amp;"]"</f>
        <v>[S05_ImprovementReportArt69][18][Annex1Activity]</v>
      </c>
    </row>
    <row r="1488" spans="1:15" x14ac:dyDescent="0.3">
      <c r="A1488" t="s">
        <v>1793</v>
      </c>
      <c r="B1488" t="s">
        <v>2161</v>
      </c>
      <c r="C1488" t="s">
        <v>2162</v>
      </c>
      <c r="D1488">
        <v>19</v>
      </c>
      <c r="E1488" t="s">
        <v>1447</v>
      </c>
      <c r="F1488" t="s">
        <v>2163</v>
      </c>
      <c r="G1488" t="s">
        <v>1737</v>
      </c>
      <c r="H1488" t="s">
        <v>1799</v>
      </c>
      <c r="I1488" t="s">
        <v>1799</v>
      </c>
      <c r="J1488" t="s">
        <v>1799</v>
      </c>
      <c r="K1488" t="s">
        <v>1799</v>
      </c>
      <c r="L1488" t="s">
        <v>1612</v>
      </c>
      <c r="M1488" t="s">
        <v>1799</v>
      </c>
      <c r="N1488" t="s">
        <v>1799</v>
      </c>
      <c r="O1488" s="184" t="str">
        <f>"["&amp;$C1488&amp;"]["&amp;$D1488&amp;"]["&amp;$F1488&amp;"]"</f>
        <v>[S05_ImprovementReportArt69][19][Annex1Activity]</v>
      </c>
    </row>
    <row r="1489" spans="1:15" x14ac:dyDescent="0.3">
      <c r="A1489" t="s">
        <v>1793</v>
      </c>
      <c r="B1489" t="s">
        <v>2161</v>
      </c>
      <c r="C1489" t="s">
        <v>2162</v>
      </c>
      <c r="D1489">
        <v>20</v>
      </c>
      <c r="E1489" t="s">
        <v>1447</v>
      </c>
      <c r="F1489" t="s">
        <v>2163</v>
      </c>
      <c r="G1489" t="s">
        <v>1737</v>
      </c>
      <c r="H1489" t="s">
        <v>1799</v>
      </c>
      <c r="I1489" t="s">
        <v>1799</v>
      </c>
      <c r="J1489" t="s">
        <v>1799</v>
      </c>
      <c r="K1489" t="s">
        <v>1799</v>
      </c>
      <c r="L1489" t="s">
        <v>1518</v>
      </c>
      <c r="M1489" t="s">
        <v>1799</v>
      </c>
      <c r="N1489" t="s">
        <v>1799</v>
      </c>
      <c r="O1489" s="184" t="str">
        <f>"["&amp;$C1489&amp;"]["&amp;$D1489&amp;"]["&amp;$F1489&amp;"]"</f>
        <v>[S05_ImprovementReportArt69][20][Annex1Activity]</v>
      </c>
    </row>
    <row r="1490" spans="1:15" x14ac:dyDescent="0.3">
      <c r="A1490" t="s">
        <v>1793</v>
      </c>
      <c r="B1490" t="s">
        <v>2161</v>
      </c>
      <c r="C1490" t="s">
        <v>2162</v>
      </c>
      <c r="D1490">
        <v>21</v>
      </c>
      <c r="E1490" t="s">
        <v>1447</v>
      </c>
      <c r="F1490" t="s">
        <v>2163</v>
      </c>
      <c r="G1490" t="s">
        <v>1737</v>
      </c>
      <c r="H1490" t="s">
        <v>1799</v>
      </c>
      <c r="I1490" t="s">
        <v>1799</v>
      </c>
      <c r="J1490" t="s">
        <v>1799</v>
      </c>
      <c r="K1490" t="s">
        <v>1799</v>
      </c>
      <c r="L1490" t="s">
        <v>1420</v>
      </c>
      <c r="M1490" t="s">
        <v>1799</v>
      </c>
      <c r="N1490" t="s">
        <v>1799</v>
      </c>
      <c r="O1490" s="184" t="str">
        <f>"["&amp;$C1490&amp;"]["&amp;$D1490&amp;"]["&amp;$F1490&amp;"]"</f>
        <v>[S05_ImprovementReportArt69][21][Annex1Activity]</v>
      </c>
    </row>
    <row r="1491" spans="1:15" x14ac:dyDescent="0.3">
      <c r="A1491" t="s">
        <v>1793</v>
      </c>
      <c r="B1491" t="s">
        <v>2161</v>
      </c>
      <c r="C1491" t="s">
        <v>2162</v>
      </c>
      <c r="D1491">
        <v>22</v>
      </c>
      <c r="E1491" t="s">
        <v>1447</v>
      </c>
      <c r="F1491" t="s">
        <v>2163</v>
      </c>
      <c r="G1491" t="s">
        <v>1737</v>
      </c>
      <c r="H1491" t="s">
        <v>1799</v>
      </c>
      <c r="I1491" t="s">
        <v>1799</v>
      </c>
      <c r="J1491" t="s">
        <v>1799</v>
      </c>
      <c r="K1491" t="s">
        <v>1799</v>
      </c>
      <c r="L1491" t="s">
        <v>1607</v>
      </c>
      <c r="M1491" t="s">
        <v>1799</v>
      </c>
      <c r="N1491" t="s">
        <v>1799</v>
      </c>
      <c r="O1491" s="184" t="str">
        <f>"["&amp;$C1491&amp;"]["&amp;$D1491&amp;"]["&amp;$F1491&amp;"]"</f>
        <v>[S05_ImprovementReportArt69][22][Annex1Activity]</v>
      </c>
    </row>
    <row r="1492" spans="1:15" x14ac:dyDescent="0.3">
      <c r="A1492" t="s">
        <v>1793</v>
      </c>
      <c r="B1492" t="s">
        <v>2161</v>
      </c>
      <c r="C1492" t="s">
        <v>2162</v>
      </c>
      <c r="D1492">
        <v>23</v>
      </c>
      <c r="E1492" t="s">
        <v>1447</v>
      </c>
      <c r="F1492" t="s">
        <v>2163</v>
      </c>
      <c r="G1492" t="s">
        <v>1737</v>
      </c>
      <c r="H1492" t="s">
        <v>1799</v>
      </c>
      <c r="I1492" t="s">
        <v>1799</v>
      </c>
      <c r="J1492" t="s">
        <v>1799</v>
      </c>
      <c r="K1492" t="s">
        <v>1799</v>
      </c>
      <c r="L1492" t="s">
        <v>1530</v>
      </c>
      <c r="M1492" t="s">
        <v>1799</v>
      </c>
      <c r="N1492" t="s">
        <v>1799</v>
      </c>
      <c r="O1492" s="184" t="str">
        <f>"["&amp;$C1492&amp;"]["&amp;$D1492&amp;"]["&amp;$F1492&amp;"]"</f>
        <v>[S05_ImprovementReportArt69][23][Annex1Activity]</v>
      </c>
    </row>
    <row r="1493" spans="1:15" x14ac:dyDescent="0.3">
      <c r="A1493" t="s">
        <v>1793</v>
      </c>
      <c r="B1493" t="s">
        <v>2161</v>
      </c>
      <c r="C1493" t="s">
        <v>2162</v>
      </c>
      <c r="D1493">
        <v>24</v>
      </c>
      <c r="E1493" t="s">
        <v>1447</v>
      </c>
      <c r="F1493" t="s">
        <v>2163</v>
      </c>
      <c r="G1493" t="s">
        <v>1737</v>
      </c>
      <c r="H1493" t="s">
        <v>1799</v>
      </c>
      <c r="I1493" t="s">
        <v>1799</v>
      </c>
      <c r="J1493" t="s">
        <v>1799</v>
      </c>
      <c r="K1493" t="s">
        <v>1799</v>
      </c>
      <c r="L1493" t="s">
        <v>1631</v>
      </c>
      <c r="M1493" t="s">
        <v>1799</v>
      </c>
      <c r="N1493" t="s">
        <v>1799</v>
      </c>
      <c r="O1493" s="184" t="str">
        <f>"["&amp;$C1493&amp;"]["&amp;$D1493&amp;"]["&amp;$F1493&amp;"]"</f>
        <v>[S05_ImprovementReportArt69][24][Annex1Activity]</v>
      </c>
    </row>
    <row r="1494" spans="1:15" x14ac:dyDescent="0.3">
      <c r="A1494" t="s">
        <v>1793</v>
      </c>
      <c r="B1494" t="s">
        <v>2161</v>
      </c>
      <c r="C1494" t="s">
        <v>2162</v>
      </c>
      <c r="D1494">
        <v>25</v>
      </c>
      <c r="E1494" t="s">
        <v>1447</v>
      </c>
      <c r="F1494" t="s">
        <v>2163</v>
      </c>
      <c r="G1494" t="s">
        <v>1737</v>
      </c>
      <c r="H1494" t="s">
        <v>1799</v>
      </c>
      <c r="I1494" t="s">
        <v>1799</v>
      </c>
      <c r="J1494" t="s">
        <v>1799</v>
      </c>
      <c r="K1494" t="s">
        <v>1799</v>
      </c>
      <c r="L1494" t="s">
        <v>1626</v>
      </c>
      <c r="M1494" t="s">
        <v>1799</v>
      </c>
      <c r="N1494" t="s">
        <v>1799</v>
      </c>
      <c r="O1494" s="184" t="str">
        <f>"["&amp;$C1494&amp;"]["&amp;$D1494&amp;"]["&amp;$F1494&amp;"]"</f>
        <v>[S05_ImprovementReportArt69][25][Annex1Activity]</v>
      </c>
    </row>
    <row r="1495" spans="1:15" x14ac:dyDescent="0.3">
      <c r="A1495" t="s">
        <v>1793</v>
      </c>
      <c r="B1495" t="s">
        <v>2161</v>
      </c>
      <c r="C1495" t="s">
        <v>2162</v>
      </c>
      <c r="D1495">
        <v>26</v>
      </c>
      <c r="E1495" t="s">
        <v>1447</v>
      </c>
      <c r="F1495" t="s">
        <v>2163</v>
      </c>
      <c r="G1495" t="s">
        <v>1737</v>
      </c>
      <c r="H1495" t="s">
        <v>1799</v>
      </c>
      <c r="I1495" t="s">
        <v>1799</v>
      </c>
      <c r="J1495" t="s">
        <v>1799</v>
      </c>
      <c r="K1495" t="s">
        <v>1799</v>
      </c>
      <c r="L1495" t="s">
        <v>1557</v>
      </c>
      <c r="M1495" t="s">
        <v>1799</v>
      </c>
      <c r="N1495" t="s">
        <v>1799</v>
      </c>
      <c r="O1495" s="184" t="str">
        <f>"["&amp;$C1495&amp;"]["&amp;$D1495&amp;"]["&amp;$F1495&amp;"]"</f>
        <v>[S05_ImprovementReportArt69][26][Annex1Activity]</v>
      </c>
    </row>
    <row r="1496" spans="1:15" x14ac:dyDescent="0.3">
      <c r="A1496" t="s">
        <v>1793</v>
      </c>
      <c r="B1496" t="s">
        <v>2161</v>
      </c>
      <c r="C1496" t="s">
        <v>2162</v>
      </c>
      <c r="D1496">
        <v>27</v>
      </c>
      <c r="E1496" t="s">
        <v>1447</v>
      </c>
      <c r="F1496" t="s">
        <v>2163</v>
      </c>
      <c r="G1496" t="s">
        <v>1737</v>
      </c>
      <c r="H1496" t="s">
        <v>1799</v>
      </c>
      <c r="I1496" t="s">
        <v>1799</v>
      </c>
      <c r="J1496" t="s">
        <v>1799</v>
      </c>
      <c r="K1496" t="s">
        <v>1799</v>
      </c>
      <c r="L1496" t="s">
        <v>1577</v>
      </c>
      <c r="M1496" t="s">
        <v>1799</v>
      </c>
      <c r="N1496" t="s">
        <v>1799</v>
      </c>
      <c r="O1496" s="184" t="str">
        <f>"["&amp;$C1496&amp;"]["&amp;$D1496&amp;"]["&amp;$F1496&amp;"]"</f>
        <v>[S05_ImprovementReportArt69][27][Annex1Activity]</v>
      </c>
    </row>
    <row r="1497" spans="1:15" x14ac:dyDescent="0.3">
      <c r="A1497" t="s">
        <v>1793</v>
      </c>
      <c r="B1497" t="s">
        <v>2161</v>
      </c>
      <c r="C1497" t="s">
        <v>2162</v>
      </c>
      <c r="D1497">
        <v>1</v>
      </c>
      <c r="E1497" t="s">
        <v>1447</v>
      </c>
      <c r="F1497" t="s">
        <v>2164</v>
      </c>
      <c r="G1497" t="s">
        <v>1737</v>
      </c>
      <c r="H1497" t="s">
        <v>1799</v>
      </c>
      <c r="I1497" t="s">
        <v>1799</v>
      </c>
      <c r="J1497" t="s">
        <v>1799</v>
      </c>
      <c r="K1497" t="s">
        <v>1799</v>
      </c>
      <c r="L1497" t="s">
        <v>1433</v>
      </c>
      <c r="M1497" t="s">
        <v>1799</v>
      </c>
      <c r="N1497" t="s">
        <v>1799</v>
      </c>
      <c r="O1497" s="184" t="str">
        <f>"["&amp;$C1497&amp;"]["&amp;$D1497&amp;"]["&amp;$F1497&amp;"]"</f>
        <v>[S05_ImprovementReportArt69][1][ImprovementReportType]</v>
      </c>
    </row>
    <row r="1498" spans="1:15" x14ac:dyDescent="0.3">
      <c r="A1498" t="s">
        <v>1793</v>
      </c>
      <c r="B1498" t="s">
        <v>2161</v>
      </c>
      <c r="C1498" t="s">
        <v>2162</v>
      </c>
      <c r="D1498">
        <v>2</v>
      </c>
      <c r="E1498" t="s">
        <v>1447</v>
      </c>
      <c r="F1498" t="s">
        <v>2164</v>
      </c>
      <c r="G1498" t="s">
        <v>1737</v>
      </c>
      <c r="H1498" t="s">
        <v>1799</v>
      </c>
      <c r="I1498" t="s">
        <v>1799</v>
      </c>
      <c r="J1498" t="s">
        <v>1799</v>
      </c>
      <c r="K1498" t="s">
        <v>1799</v>
      </c>
      <c r="L1498" t="s">
        <v>1433</v>
      </c>
      <c r="M1498" t="s">
        <v>1799</v>
      </c>
      <c r="N1498" t="s">
        <v>1799</v>
      </c>
      <c r="O1498" s="184" t="str">
        <f>"["&amp;$C1498&amp;"]["&amp;$D1498&amp;"]["&amp;$F1498&amp;"]"</f>
        <v>[S05_ImprovementReportArt69][2][ImprovementReportType]</v>
      </c>
    </row>
    <row r="1499" spans="1:15" x14ac:dyDescent="0.3">
      <c r="A1499" t="s">
        <v>1793</v>
      </c>
      <c r="B1499" t="s">
        <v>2161</v>
      </c>
      <c r="C1499" t="s">
        <v>2162</v>
      </c>
      <c r="D1499">
        <v>3</v>
      </c>
      <c r="E1499" t="s">
        <v>1447</v>
      </c>
      <c r="F1499" t="s">
        <v>2164</v>
      </c>
      <c r="G1499" t="s">
        <v>1737</v>
      </c>
      <c r="H1499" t="s">
        <v>1799</v>
      </c>
      <c r="I1499" t="s">
        <v>1799</v>
      </c>
      <c r="J1499" t="s">
        <v>1799</v>
      </c>
      <c r="K1499" t="s">
        <v>1799</v>
      </c>
      <c r="L1499" t="s">
        <v>1433</v>
      </c>
      <c r="M1499" t="s">
        <v>1799</v>
      </c>
      <c r="N1499" t="s">
        <v>1799</v>
      </c>
      <c r="O1499" s="184" t="str">
        <f>"["&amp;$C1499&amp;"]["&amp;$D1499&amp;"]["&amp;$F1499&amp;"]"</f>
        <v>[S05_ImprovementReportArt69][3][ImprovementReportType]</v>
      </c>
    </row>
    <row r="1500" spans="1:15" x14ac:dyDescent="0.3">
      <c r="A1500" t="s">
        <v>1793</v>
      </c>
      <c r="B1500" t="s">
        <v>2161</v>
      </c>
      <c r="C1500" t="s">
        <v>2162</v>
      </c>
      <c r="D1500">
        <v>4</v>
      </c>
      <c r="E1500" t="s">
        <v>1447</v>
      </c>
      <c r="F1500" t="s">
        <v>2164</v>
      </c>
      <c r="G1500" t="s">
        <v>1737</v>
      </c>
      <c r="H1500" t="s">
        <v>1799</v>
      </c>
      <c r="I1500" t="s">
        <v>1799</v>
      </c>
      <c r="J1500" t="s">
        <v>1799</v>
      </c>
      <c r="K1500" t="s">
        <v>1799</v>
      </c>
      <c r="L1500" t="s">
        <v>1433</v>
      </c>
      <c r="M1500" t="s">
        <v>1799</v>
      </c>
      <c r="N1500" t="s">
        <v>1799</v>
      </c>
      <c r="O1500" s="184" t="str">
        <f>"["&amp;$C1500&amp;"]["&amp;$D1500&amp;"]["&amp;$F1500&amp;"]"</f>
        <v>[S05_ImprovementReportArt69][4][ImprovementReportType]</v>
      </c>
    </row>
    <row r="1501" spans="1:15" x14ac:dyDescent="0.3">
      <c r="A1501" t="s">
        <v>1793</v>
      </c>
      <c r="B1501" t="s">
        <v>2161</v>
      </c>
      <c r="C1501" t="s">
        <v>2162</v>
      </c>
      <c r="D1501">
        <v>5</v>
      </c>
      <c r="E1501" t="s">
        <v>1447</v>
      </c>
      <c r="F1501" t="s">
        <v>2164</v>
      </c>
      <c r="G1501" t="s">
        <v>1737</v>
      </c>
      <c r="H1501" t="s">
        <v>1799</v>
      </c>
      <c r="I1501" t="s">
        <v>1799</v>
      </c>
      <c r="J1501" t="s">
        <v>1799</v>
      </c>
      <c r="K1501" t="s">
        <v>1799</v>
      </c>
      <c r="L1501" t="s">
        <v>1433</v>
      </c>
      <c r="M1501" t="s">
        <v>1799</v>
      </c>
      <c r="N1501" t="s">
        <v>1799</v>
      </c>
      <c r="O1501" s="184" t="str">
        <f>"["&amp;$C1501&amp;"]["&amp;$D1501&amp;"]["&amp;$F1501&amp;"]"</f>
        <v>[S05_ImprovementReportArt69][5][ImprovementReportType]</v>
      </c>
    </row>
    <row r="1502" spans="1:15" x14ac:dyDescent="0.3">
      <c r="A1502" t="s">
        <v>1793</v>
      </c>
      <c r="B1502" t="s">
        <v>2161</v>
      </c>
      <c r="C1502" t="s">
        <v>2162</v>
      </c>
      <c r="D1502">
        <v>6</v>
      </c>
      <c r="E1502" t="s">
        <v>1447</v>
      </c>
      <c r="F1502" t="s">
        <v>2164</v>
      </c>
      <c r="G1502" t="s">
        <v>1737</v>
      </c>
      <c r="H1502" t="s">
        <v>1799</v>
      </c>
      <c r="I1502" t="s">
        <v>1799</v>
      </c>
      <c r="J1502" t="s">
        <v>1799</v>
      </c>
      <c r="K1502" t="s">
        <v>1799</v>
      </c>
      <c r="L1502" t="s">
        <v>1433</v>
      </c>
      <c r="M1502" t="s">
        <v>1799</v>
      </c>
      <c r="N1502" t="s">
        <v>1799</v>
      </c>
      <c r="O1502" s="184" t="str">
        <f>"["&amp;$C1502&amp;"]["&amp;$D1502&amp;"]["&amp;$F1502&amp;"]"</f>
        <v>[S05_ImprovementReportArt69][6][ImprovementReportType]</v>
      </c>
    </row>
    <row r="1503" spans="1:15" x14ac:dyDescent="0.3">
      <c r="A1503" t="s">
        <v>1793</v>
      </c>
      <c r="B1503" t="s">
        <v>2161</v>
      </c>
      <c r="C1503" t="s">
        <v>2162</v>
      </c>
      <c r="D1503">
        <v>7</v>
      </c>
      <c r="E1503" t="s">
        <v>1447</v>
      </c>
      <c r="F1503" t="s">
        <v>2164</v>
      </c>
      <c r="G1503" t="s">
        <v>1737</v>
      </c>
      <c r="H1503" t="s">
        <v>1799</v>
      </c>
      <c r="I1503" t="s">
        <v>1799</v>
      </c>
      <c r="J1503" t="s">
        <v>1799</v>
      </c>
      <c r="K1503" t="s">
        <v>1799</v>
      </c>
      <c r="L1503" t="s">
        <v>1433</v>
      </c>
      <c r="M1503" t="s">
        <v>1799</v>
      </c>
      <c r="N1503" t="s">
        <v>1799</v>
      </c>
      <c r="O1503" s="184" t="str">
        <f>"["&amp;$C1503&amp;"]["&amp;$D1503&amp;"]["&amp;$F1503&amp;"]"</f>
        <v>[S05_ImprovementReportArt69][7][ImprovementReportType]</v>
      </c>
    </row>
    <row r="1504" spans="1:15" x14ac:dyDescent="0.3">
      <c r="A1504" t="s">
        <v>1793</v>
      </c>
      <c r="B1504" t="s">
        <v>2161</v>
      </c>
      <c r="C1504" t="s">
        <v>2162</v>
      </c>
      <c r="D1504">
        <v>8</v>
      </c>
      <c r="E1504" t="s">
        <v>1447</v>
      </c>
      <c r="F1504" t="s">
        <v>2164</v>
      </c>
      <c r="G1504" t="s">
        <v>1737</v>
      </c>
      <c r="H1504" t="s">
        <v>1799</v>
      </c>
      <c r="I1504" t="s">
        <v>1799</v>
      </c>
      <c r="J1504" t="s">
        <v>1799</v>
      </c>
      <c r="K1504" t="s">
        <v>1799</v>
      </c>
      <c r="L1504" t="s">
        <v>1433</v>
      </c>
      <c r="M1504" t="s">
        <v>1799</v>
      </c>
      <c r="N1504" t="s">
        <v>1799</v>
      </c>
      <c r="O1504" s="184" t="str">
        <f>"["&amp;$C1504&amp;"]["&amp;$D1504&amp;"]["&amp;$F1504&amp;"]"</f>
        <v>[S05_ImprovementReportArt69][8][ImprovementReportType]</v>
      </c>
    </row>
    <row r="1505" spans="1:15" x14ac:dyDescent="0.3">
      <c r="A1505" t="s">
        <v>1793</v>
      </c>
      <c r="B1505" t="s">
        <v>2161</v>
      </c>
      <c r="C1505" t="s">
        <v>2162</v>
      </c>
      <c r="D1505">
        <v>9</v>
      </c>
      <c r="E1505" t="s">
        <v>1447</v>
      </c>
      <c r="F1505" t="s">
        <v>2164</v>
      </c>
      <c r="G1505" t="s">
        <v>1737</v>
      </c>
      <c r="H1505" t="s">
        <v>1799</v>
      </c>
      <c r="I1505" t="s">
        <v>1799</v>
      </c>
      <c r="J1505" t="s">
        <v>1799</v>
      </c>
      <c r="K1505" t="s">
        <v>1799</v>
      </c>
      <c r="L1505" t="s">
        <v>1433</v>
      </c>
      <c r="M1505" t="s">
        <v>1799</v>
      </c>
      <c r="N1505" t="s">
        <v>1799</v>
      </c>
      <c r="O1505" s="184" t="str">
        <f>"["&amp;$C1505&amp;"]["&amp;$D1505&amp;"]["&amp;$F1505&amp;"]"</f>
        <v>[S05_ImprovementReportArt69][9][ImprovementReportType]</v>
      </c>
    </row>
    <row r="1506" spans="1:15" x14ac:dyDescent="0.3">
      <c r="A1506" t="s">
        <v>1793</v>
      </c>
      <c r="B1506" t="s">
        <v>2161</v>
      </c>
      <c r="C1506" t="s">
        <v>2162</v>
      </c>
      <c r="D1506">
        <v>10</v>
      </c>
      <c r="E1506" t="s">
        <v>1447</v>
      </c>
      <c r="F1506" t="s">
        <v>2164</v>
      </c>
      <c r="G1506" t="s">
        <v>1737</v>
      </c>
      <c r="H1506" t="s">
        <v>1799</v>
      </c>
      <c r="I1506" t="s">
        <v>1799</v>
      </c>
      <c r="J1506" t="s">
        <v>1799</v>
      </c>
      <c r="K1506" t="s">
        <v>1799</v>
      </c>
      <c r="L1506" t="s">
        <v>1433</v>
      </c>
      <c r="M1506" t="s">
        <v>1799</v>
      </c>
      <c r="N1506" t="s">
        <v>1799</v>
      </c>
      <c r="O1506" s="184" t="str">
        <f>"["&amp;$C1506&amp;"]["&amp;$D1506&amp;"]["&amp;$F1506&amp;"]"</f>
        <v>[S05_ImprovementReportArt69][10][ImprovementReportType]</v>
      </c>
    </row>
    <row r="1507" spans="1:15" x14ac:dyDescent="0.3">
      <c r="A1507" t="s">
        <v>1793</v>
      </c>
      <c r="B1507" t="s">
        <v>2161</v>
      </c>
      <c r="C1507" t="s">
        <v>2162</v>
      </c>
      <c r="D1507">
        <v>11</v>
      </c>
      <c r="E1507" t="s">
        <v>1447</v>
      </c>
      <c r="F1507" t="s">
        <v>2164</v>
      </c>
      <c r="G1507" t="s">
        <v>1737</v>
      </c>
      <c r="H1507" t="s">
        <v>1799</v>
      </c>
      <c r="I1507" t="s">
        <v>1799</v>
      </c>
      <c r="J1507" t="s">
        <v>1799</v>
      </c>
      <c r="K1507" t="s">
        <v>1799</v>
      </c>
      <c r="L1507" t="s">
        <v>1433</v>
      </c>
      <c r="M1507" t="s">
        <v>1799</v>
      </c>
      <c r="N1507" t="s">
        <v>1799</v>
      </c>
      <c r="O1507" s="184" t="str">
        <f>"["&amp;$C1507&amp;"]["&amp;$D1507&amp;"]["&amp;$F1507&amp;"]"</f>
        <v>[S05_ImprovementReportArt69][11][ImprovementReportType]</v>
      </c>
    </row>
    <row r="1508" spans="1:15" x14ac:dyDescent="0.3">
      <c r="A1508" t="s">
        <v>1793</v>
      </c>
      <c r="B1508" t="s">
        <v>2161</v>
      </c>
      <c r="C1508" t="s">
        <v>2162</v>
      </c>
      <c r="D1508">
        <v>12</v>
      </c>
      <c r="E1508" t="s">
        <v>1447</v>
      </c>
      <c r="F1508" t="s">
        <v>2164</v>
      </c>
      <c r="G1508" t="s">
        <v>1737</v>
      </c>
      <c r="H1508" t="s">
        <v>1799</v>
      </c>
      <c r="I1508" t="s">
        <v>1799</v>
      </c>
      <c r="J1508" t="s">
        <v>1799</v>
      </c>
      <c r="K1508" t="s">
        <v>1799</v>
      </c>
      <c r="L1508" t="s">
        <v>1433</v>
      </c>
      <c r="M1508" t="s">
        <v>1799</v>
      </c>
      <c r="N1508" t="s">
        <v>1799</v>
      </c>
      <c r="O1508" s="184" t="str">
        <f>"["&amp;$C1508&amp;"]["&amp;$D1508&amp;"]["&amp;$F1508&amp;"]"</f>
        <v>[S05_ImprovementReportArt69][12][ImprovementReportType]</v>
      </c>
    </row>
    <row r="1509" spans="1:15" x14ac:dyDescent="0.3">
      <c r="A1509" t="s">
        <v>1793</v>
      </c>
      <c r="B1509" t="s">
        <v>2161</v>
      </c>
      <c r="C1509" t="s">
        <v>2162</v>
      </c>
      <c r="D1509">
        <v>13</v>
      </c>
      <c r="E1509" t="s">
        <v>1447</v>
      </c>
      <c r="F1509" t="s">
        <v>2164</v>
      </c>
      <c r="G1509" t="s">
        <v>1737</v>
      </c>
      <c r="H1509" t="s">
        <v>1799</v>
      </c>
      <c r="I1509" t="s">
        <v>1799</v>
      </c>
      <c r="J1509" t="s">
        <v>1799</v>
      </c>
      <c r="K1509" t="s">
        <v>1799</v>
      </c>
      <c r="L1509" t="s">
        <v>1433</v>
      </c>
      <c r="M1509" t="s">
        <v>1799</v>
      </c>
      <c r="N1509" t="s">
        <v>1799</v>
      </c>
      <c r="O1509" s="184" t="str">
        <f>"["&amp;$C1509&amp;"]["&amp;$D1509&amp;"]["&amp;$F1509&amp;"]"</f>
        <v>[S05_ImprovementReportArt69][13][ImprovementReportType]</v>
      </c>
    </row>
    <row r="1510" spans="1:15" x14ac:dyDescent="0.3">
      <c r="A1510" t="s">
        <v>1793</v>
      </c>
      <c r="B1510" t="s">
        <v>2161</v>
      </c>
      <c r="C1510" t="s">
        <v>2162</v>
      </c>
      <c r="D1510">
        <v>14</v>
      </c>
      <c r="E1510" t="s">
        <v>1447</v>
      </c>
      <c r="F1510" t="s">
        <v>2164</v>
      </c>
      <c r="G1510" t="s">
        <v>1737</v>
      </c>
      <c r="H1510" t="s">
        <v>1799</v>
      </c>
      <c r="I1510" t="s">
        <v>1799</v>
      </c>
      <c r="J1510" t="s">
        <v>1799</v>
      </c>
      <c r="K1510" t="s">
        <v>1799</v>
      </c>
      <c r="L1510" t="s">
        <v>1433</v>
      </c>
      <c r="M1510" t="s">
        <v>1799</v>
      </c>
      <c r="N1510" t="s">
        <v>1799</v>
      </c>
      <c r="O1510" s="184" t="str">
        <f>"["&amp;$C1510&amp;"]["&amp;$D1510&amp;"]["&amp;$F1510&amp;"]"</f>
        <v>[S05_ImprovementReportArt69][14][ImprovementReportType]</v>
      </c>
    </row>
    <row r="1511" spans="1:15" x14ac:dyDescent="0.3">
      <c r="A1511" t="s">
        <v>1793</v>
      </c>
      <c r="B1511" t="s">
        <v>2161</v>
      </c>
      <c r="C1511" t="s">
        <v>2162</v>
      </c>
      <c r="D1511">
        <v>15</v>
      </c>
      <c r="E1511" t="s">
        <v>1447</v>
      </c>
      <c r="F1511" t="s">
        <v>2164</v>
      </c>
      <c r="G1511" t="s">
        <v>1737</v>
      </c>
      <c r="H1511" t="s">
        <v>1799</v>
      </c>
      <c r="I1511" t="s">
        <v>1799</v>
      </c>
      <c r="J1511" t="s">
        <v>1799</v>
      </c>
      <c r="K1511" t="s">
        <v>1799</v>
      </c>
      <c r="L1511" t="s">
        <v>1433</v>
      </c>
      <c r="M1511" t="s">
        <v>1799</v>
      </c>
      <c r="N1511" t="s">
        <v>1799</v>
      </c>
      <c r="O1511" s="184" t="str">
        <f>"["&amp;$C1511&amp;"]["&amp;$D1511&amp;"]["&amp;$F1511&amp;"]"</f>
        <v>[S05_ImprovementReportArt69][15][ImprovementReportType]</v>
      </c>
    </row>
    <row r="1512" spans="1:15" x14ac:dyDescent="0.3">
      <c r="A1512" t="s">
        <v>1793</v>
      </c>
      <c r="B1512" t="s">
        <v>2161</v>
      </c>
      <c r="C1512" t="s">
        <v>2162</v>
      </c>
      <c r="D1512">
        <v>16</v>
      </c>
      <c r="E1512" t="s">
        <v>1447</v>
      </c>
      <c r="F1512" t="s">
        <v>2164</v>
      </c>
      <c r="G1512" t="s">
        <v>1737</v>
      </c>
      <c r="H1512" t="s">
        <v>1799</v>
      </c>
      <c r="I1512" t="s">
        <v>1799</v>
      </c>
      <c r="J1512" t="s">
        <v>1799</v>
      </c>
      <c r="K1512" t="s">
        <v>1799</v>
      </c>
      <c r="L1512" t="s">
        <v>1433</v>
      </c>
      <c r="M1512" t="s">
        <v>1799</v>
      </c>
      <c r="N1512" t="s">
        <v>1799</v>
      </c>
      <c r="O1512" s="184" t="str">
        <f>"["&amp;$C1512&amp;"]["&amp;$D1512&amp;"]["&amp;$F1512&amp;"]"</f>
        <v>[S05_ImprovementReportArt69][16][ImprovementReportType]</v>
      </c>
    </row>
    <row r="1513" spans="1:15" x14ac:dyDescent="0.3">
      <c r="A1513" t="s">
        <v>1793</v>
      </c>
      <c r="B1513" t="s">
        <v>2161</v>
      </c>
      <c r="C1513" t="s">
        <v>2162</v>
      </c>
      <c r="D1513">
        <v>17</v>
      </c>
      <c r="E1513" t="s">
        <v>1447</v>
      </c>
      <c r="F1513" t="s">
        <v>2164</v>
      </c>
      <c r="G1513" t="s">
        <v>1737</v>
      </c>
      <c r="H1513" t="s">
        <v>1799</v>
      </c>
      <c r="I1513" t="s">
        <v>1799</v>
      </c>
      <c r="J1513" t="s">
        <v>1799</v>
      </c>
      <c r="K1513" t="s">
        <v>1799</v>
      </c>
      <c r="L1513" t="s">
        <v>1433</v>
      </c>
      <c r="M1513" t="s">
        <v>1799</v>
      </c>
      <c r="N1513" t="s">
        <v>1799</v>
      </c>
      <c r="O1513" s="184" t="str">
        <f>"["&amp;$C1513&amp;"]["&amp;$D1513&amp;"]["&amp;$F1513&amp;"]"</f>
        <v>[S05_ImprovementReportArt69][17][ImprovementReportType]</v>
      </c>
    </row>
    <row r="1514" spans="1:15" x14ac:dyDescent="0.3">
      <c r="A1514" t="s">
        <v>1793</v>
      </c>
      <c r="B1514" t="s">
        <v>2161</v>
      </c>
      <c r="C1514" t="s">
        <v>2162</v>
      </c>
      <c r="D1514">
        <v>18</v>
      </c>
      <c r="E1514" t="s">
        <v>1447</v>
      </c>
      <c r="F1514" t="s">
        <v>2164</v>
      </c>
      <c r="G1514" t="s">
        <v>1737</v>
      </c>
      <c r="H1514" t="s">
        <v>1799</v>
      </c>
      <c r="I1514" t="s">
        <v>1799</v>
      </c>
      <c r="J1514" t="s">
        <v>1799</v>
      </c>
      <c r="K1514" t="s">
        <v>1799</v>
      </c>
      <c r="L1514" t="s">
        <v>1433</v>
      </c>
      <c r="M1514" t="s">
        <v>1799</v>
      </c>
      <c r="N1514" t="s">
        <v>1799</v>
      </c>
      <c r="O1514" s="184" t="str">
        <f>"["&amp;$C1514&amp;"]["&amp;$D1514&amp;"]["&amp;$F1514&amp;"]"</f>
        <v>[S05_ImprovementReportArt69][18][ImprovementReportType]</v>
      </c>
    </row>
    <row r="1515" spans="1:15" x14ac:dyDescent="0.3">
      <c r="A1515" t="s">
        <v>1793</v>
      </c>
      <c r="B1515" t="s">
        <v>2161</v>
      </c>
      <c r="C1515" t="s">
        <v>2162</v>
      </c>
      <c r="D1515">
        <v>19</v>
      </c>
      <c r="E1515" t="s">
        <v>1447</v>
      </c>
      <c r="F1515" t="s">
        <v>2164</v>
      </c>
      <c r="G1515" t="s">
        <v>1737</v>
      </c>
      <c r="H1515" t="s">
        <v>1799</v>
      </c>
      <c r="I1515" t="s">
        <v>1799</v>
      </c>
      <c r="J1515" t="s">
        <v>1799</v>
      </c>
      <c r="K1515" t="s">
        <v>1799</v>
      </c>
      <c r="L1515" t="s">
        <v>1433</v>
      </c>
      <c r="M1515" t="s">
        <v>1799</v>
      </c>
      <c r="N1515" t="s">
        <v>1799</v>
      </c>
      <c r="O1515" s="184" t="str">
        <f>"["&amp;$C1515&amp;"]["&amp;$D1515&amp;"]["&amp;$F1515&amp;"]"</f>
        <v>[S05_ImprovementReportArt69][19][ImprovementReportType]</v>
      </c>
    </row>
    <row r="1516" spans="1:15" x14ac:dyDescent="0.3">
      <c r="A1516" t="s">
        <v>1793</v>
      </c>
      <c r="B1516" t="s">
        <v>2161</v>
      </c>
      <c r="C1516" t="s">
        <v>2162</v>
      </c>
      <c r="D1516">
        <v>20</v>
      </c>
      <c r="E1516" t="s">
        <v>1447</v>
      </c>
      <c r="F1516" t="s">
        <v>2164</v>
      </c>
      <c r="G1516" t="s">
        <v>1737</v>
      </c>
      <c r="H1516" t="s">
        <v>1799</v>
      </c>
      <c r="I1516" t="s">
        <v>1799</v>
      </c>
      <c r="J1516" t="s">
        <v>1799</v>
      </c>
      <c r="K1516" t="s">
        <v>1799</v>
      </c>
      <c r="L1516" t="s">
        <v>1433</v>
      </c>
      <c r="M1516" t="s">
        <v>1799</v>
      </c>
      <c r="N1516" t="s">
        <v>1799</v>
      </c>
      <c r="O1516" s="184" t="str">
        <f>"["&amp;$C1516&amp;"]["&amp;$D1516&amp;"]["&amp;$F1516&amp;"]"</f>
        <v>[S05_ImprovementReportArt69][20][ImprovementReportType]</v>
      </c>
    </row>
    <row r="1517" spans="1:15" x14ac:dyDescent="0.3">
      <c r="A1517" t="s">
        <v>1793</v>
      </c>
      <c r="B1517" t="s">
        <v>2161</v>
      </c>
      <c r="C1517" t="s">
        <v>2162</v>
      </c>
      <c r="D1517">
        <v>21</v>
      </c>
      <c r="E1517" t="s">
        <v>1447</v>
      </c>
      <c r="F1517" t="s">
        <v>2164</v>
      </c>
      <c r="G1517" t="s">
        <v>1737</v>
      </c>
      <c r="H1517" t="s">
        <v>1799</v>
      </c>
      <c r="I1517" t="s">
        <v>1799</v>
      </c>
      <c r="J1517" t="s">
        <v>1799</v>
      </c>
      <c r="K1517" t="s">
        <v>1799</v>
      </c>
      <c r="L1517" t="s">
        <v>1433</v>
      </c>
      <c r="M1517" t="s">
        <v>1799</v>
      </c>
      <c r="N1517" t="s">
        <v>1799</v>
      </c>
      <c r="O1517" s="184" t="str">
        <f>"["&amp;$C1517&amp;"]["&amp;$D1517&amp;"]["&amp;$F1517&amp;"]"</f>
        <v>[S05_ImprovementReportArt69][21][ImprovementReportType]</v>
      </c>
    </row>
    <row r="1518" spans="1:15" x14ac:dyDescent="0.3">
      <c r="A1518" t="s">
        <v>1793</v>
      </c>
      <c r="B1518" t="s">
        <v>2161</v>
      </c>
      <c r="C1518" t="s">
        <v>2162</v>
      </c>
      <c r="D1518">
        <v>22</v>
      </c>
      <c r="E1518" t="s">
        <v>1447</v>
      </c>
      <c r="F1518" t="s">
        <v>2164</v>
      </c>
      <c r="G1518" t="s">
        <v>1737</v>
      </c>
      <c r="H1518" t="s">
        <v>1799</v>
      </c>
      <c r="I1518" t="s">
        <v>1799</v>
      </c>
      <c r="J1518" t="s">
        <v>1799</v>
      </c>
      <c r="K1518" t="s">
        <v>1799</v>
      </c>
      <c r="L1518" t="s">
        <v>1433</v>
      </c>
      <c r="M1518" t="s">
        <v>1799</v>
      </c>
      <c r="N1518" t="s">
        <v>1799</v>
      </c>
      <c r="O1518" s="184" t="str">
        <f>"["&amp;$C1518&amp;"]["&amp;$D1518&amp;"]["&amp;$F1518&amp;"]"</f>
        <v>[S05_ImprovementReportArt69][22][ImprovementReportType]</v>
      </c>
    </row>
    <row r="1519" spans="1:15" x14ac:dyDescent="0.3">
      <c r="A1519" t="s">
        <v>1793</v>
      </c>
      <c r="B1519" t="s">
        <v>2161</v>
      </c>
      <c r="C1519" t="s">
        <v>2162</v>
      </c>
      <c r="D1519">
        <v>23</v>
      </c>
      <c r="E1519" t="s">
        <v>1447</v>
      </c>
      <c r="F1519" t="s">
        <v>2164</v>
      </c>
      <c r="G1519" t="s">
        <v>1737</v>
      </c>
      <c r="H1519" t="s">
        <v>1799</v>
      </c>
      <c r="I1519" t="s">
        <v>1799</v>
      </c>
      <c r="J1519" t="s">
        <v>1799</v>
      </c>
      <c r="K1519" t="s">
        <v>1799</v>
      </c>
      <c r="L1519" t="s">
        <v>1433</v>
      </c>
      <c r="M1519" t="s">
        <v>1799</v>
      </c>
      <c r="N1519" t="s">
        <v>1799</v>
      </c>
      <c r="O1519" s="184" t="str">
        <f>"["&amp;$C1519&amp;"]["&amp;$D1519&amp;"]["&amp;$F1519&amp;"]"</f>
        <v>[S05_ImprovementReportArt69][23][ImprovementReportType]</v>
      </c>
    </row>
    <row r="1520" spans="1:15" x14ac:dyDescent="0.3">
      <c r="A1520" t="s">
        <v>1793</v>
      </c>
      <c r="B1520" t="s">
        <v>2161</v>
      </c>
      <c r="C1520" t="s">
        <v>2162</v>
      </c>
      <c r="D1520">
        <v>24</v>
      </c>
      <c r="E1520" t="s">
        <v>1447</v>
      </c>
      <c r="F1520" t="s">
        <v>2164</v>
      </c>
      <c r="G1520" t="s">
        <v>1737</v>
      </c>
      <c r="H1520" t="s">
        <v>1799</v>
      </c>
      <c r="I1520" t="s">
        <v>1799</v>
      </c>
      <c r="J1520" t="s">
        <v>1799</v>
      </c>
      <c r="K1520" t="s">
        <v>1799</v>
      </c>
      <c r="L1520" t="s">
        <v>1433</v>
      </c>
      <c r="M1520" t="s">
        <v>1799</v>
      </c>
      <c r="N1520" t="s">
        <v>1799</v>
      </c>
      <c r="O1520" s="184" t="str">
        <f>"["&amp;$C1520&amp;"]["&amp;$D1520&amp;"]["&amp;$F1520&amp;"]"</f>
        <v>[S05_ImprovementReportArt69][24][ImprovementReportType]</v>
      </c>
    </row>
    <row r="1521" spans="1:15" x14ac:dyDescent="0.3">
      <c r="A1521" t="s">
        <v>1793</v>
      </c>
      <c r="B1521" t="s">
        <v>2161</v>
      </c>
      <c r="C1521" t="s">
        <v>2162</v>
      </c>
      <c r="D1521">
        <v>25</v>
      </c>
      <c r="E1521" t="s">
        <v>1447</v>
      </c>
      <c r="F1521" t="s">
        <v>2164</v>
      </c>
      <c r="G1521" t="s">
        <v>1737</v>
      </c>
      <c r="H1521" t="s">
        <v>1799</v>
      </c>
      <c r="I1521" t="s">
        <v>1799</v>
      </c>
      <c r="J1521" t="s">
        <v>1799</v>
      </c>
      <c r="K1521" t="s">
        <v>1799</v>
      </c>
      <c r="L1521" t="s">
        <v>1433</v>
      </c>
      <c r="M1521" t="s">
        <v>1799</v>
      </c>
      <c r="N1521" t="s">
        <v>1799</v>
      </c>
      <c r="O1521" s="184" t="str">
        <f>"["&amp;$C1521&amp;"]["&amp;$D1521&amp;"]["&amp;$F1521&amp;"]"</f>
        <v>[S05_ImprovementReportArt69][25][ImprovementReportType]</v>
      </c>
    </row>
    <row r="1522" spans="1:15" x14ac:dyDescent="0.3">
      <c r="A1522" t="s">
        <v>1793</v>
      </c>
      <c r="B1522" t="s">
        <v>2161</v>
      </c>
      <c r="C1522" t="s">
        <v>2162</v>
      </c>
      <c r="D1522">
        <v>26</v>
      </c>
      <c r="E1522" t="s">
        <v>1447</v>
      </c>
      <c r="F1522" t="s">
        <v>2164</v>
      </c>
      <c r="G1522" t="s">
        <v>1737</v>
      </c>
      <c r="H1522" t="s">
        <v>1799</v>
      </c>
      <c r="I1522" t="s">
        <v>1799</v>
      </c>
      <c r="J1522" t="s">
        <v>1799</v>
      </c>
      <c r="K1522" t="s">
        <v>1799</v>
      </c>
      <c r="L1522" t="s">
        <v>1433</v>
      </c>
      <c r="M1522" t="s">
        <v>1799</v>
      </c>
      <c r="N1522" t="s">
        <v>1799</v>
      </c>
      <c r="O1522" s="184" t="str">
        <f>"["&amp;$C1522&amp;"]["&amp;$D1522&amp;"]["&amp;$F1522&amp;"]"</f>
        <v>[S05_ImprovementReportArt69][26][ImprovementReportType]</v>
      </c>
    </row>
    <row r="1523" spans="1:15" x14ac:dyDescent="0.3">
      <c r="A1523" t="s">
        <v>1793</v>
      </c>
      <c r="B1523" t="s">
        <v>2161</v>
      </c>
      <c r="C1523" t="s">
        <v>2162</v>
      </c>
      <c r="D1523">
        <v>27</v>
      </c>
      <c r="E1523" t="s">
        <v>1447</v>
      </c>
      <c r="F1523" t="s">
        <v>2164</v>
      </c>
      <c r="G1523" t="s">
        <v>1737</v>
      </c>
      <c r="H1523" t="s">
        <v>1799</v>
      </c>
      <c r="I1523" t="s">
        <v>1799</v>
      </c>
      <c r="J1523" t="s">
        <v>1799</v>
      </c>
      <c r="K1523" t="s">
        <v>1799</v>
      </c>
      <c r="L1523" t="s">
        <v>1433</v>
      </c>
      <c r="M1523" t="s">
        <v>1799</v>
      </c>
      <c r="N1523" t="s">
        <v>1799</v>
      </c>
      <c r="O1523" s="184" t="str">
        <f>"["&amp;$C1523&amp;"]["&amp;$D1523&amp;"]["&amp;$F1523&amp;"]"</f>
        <v>[S05_ImprovementReportArt69][27][ImprovementReportType]</v>
      </c>
    </row>
    <row r="1524" spans="1:15" x14ac:dyDescent="0.3">
      <c r="A1524" t="s">
        <v>1793</v>
      </c>
      <c r="B1524" t="s">
        <v>2161</v>
      </c>
      <c r="C1524" t="s">
        <v>2162</v>
      </c>
      <c r="D1524">
        <v>1</v>
      </c>
      <c r="E1524" t="s">
        <v>1447</v>
      </c>
      <c r="F1524" t="s">
        <v>2165</v>
      </c>
      <c r="G1524" t="s">
        <v>1811</v>
      </c>
      <c r="H1524" t="s">
        <v>1799</v>
      </c>
      <c r="I1524">
        <v>11</v>
      </c>
      <c r="J1524" t="s">
        <v>1799</v>
      </c>
      <c r="K1524" t="s">
        <v>1799</v>
      </c>
      <c r="L1524" t="s">
        <v>1799</v>
      </c>
      <c r="M1524" t="s">
        <v>1799</v>
      </c>
      <c r="N1524" t="s">
        <v>1799</v>
      </c>
      <c r="O1524" s="184" t="str">
        <f>"["&amp;$C1524&amp;"]["&amp;$D1524&amp;"]["&amp;$F1524&amp;"]"</f>
        <v>[S05_ImprovementReportArt69][1][ImprovementReportRequired]</v>
      </c>
    </row>
    <row r="1525" spans="1:15" x14ac:dyDescent="0.3">
      <c r="A1525" t="s">
        <v>1793</v>
      </c>
      <c r="B1525" t="s">
        <v>2161</v>
      </c>
      <c r="C1525" t="s">
        <v>2162</v>
      </c>
      <c r="D1525">
        <v>2</v>
      </c>
      <c r="E1525" t="s">
        <v>1447</v>
      </c>
      <c r="F1525" t="s">
        <v>2165</v>
      </c>
      <c r="G1525" t="s">
        <v>1811</v>
      </c>
      <c r="H1525" t="s">
        <v>1799</v>
      </c>
      <c r="I1525">
        <v>1</v>
      </c>
      <c r="J1525" t="s">
        <v>1799</v>
      </c>
      <c r="K1525" t="s">
        <v>1799</v>
      </c>
      <c r="L1525" t="s">
        <v>1799</v>
      </c>
      <c r="M1525" t="s">
        <v>1799</v>
      </c>
      <c r="N1525" t="s">
        <v>1799</v>
      </c>
      <c r="O1525" s="184" t="str">
        <f>"["&amp;$C1525&amp;"]["&amp;$D1525&amp;"]["&amp;$F1525&amp;"]"</f>
        <v>[S05_ImprovementReportArt69][2][ImprovementReportRequired]</v>
      </c>
    </row>
    <row r="1526" spans="1:15" x14ac:dyDescent="0.3">
      <c r="A1526" t="s">
        <v>1793</v>
      </c>
      <c r="B1526" t="s">
        <v>2161</v>
      </c>
      <c r="C1526" t="s">
        <v>2162</v>
      </c>
      <c r="D1526">
        <v>3</v>
      </c>
      <c r="E1526" t="s">
        <v>1447</v>
      </c>
      <c r="F1526" t="s">
        <v>2165</v>
      </c>
      <c r="G1526" t="s">
        <v>1811</v>
      </c>
      <c r="H1526" t="s">
        <v>1799</v>
      </c>
      <c r="I1526">
        <v>1</v>
      </c>
      <c r="J1526" t="s">
        <v>1799</v>
      </c>
      <c r="K1526" t="s">
        <v>1799</v>
      </c>
      <c r="L1526" t="s">
        <v>1799</v>
      </c>
      <c r="M1526" t="s">
        <v>1799</v>
      </c>
      <c r="N1526" t="s">
        <v>1799</v>
      </c>
      <c r="O1526" s="184" t="str">
        <f>"["&amp;$C1526&amp;"]["&amp;$D1526&amp;"]["&amp;$F1526&amp;"]"</f>
        <v>[S05_ImprovementReportArt69][3][ImprovementReportRequired]</v>
      </c>
    </row>
    <row r="1527" spans="1:15" x14ac:dyDescent="0.3">
      <c r="A1527" t="s">
        <v>1793</v>
      </c>
      <c r="B1527" t="s">
        <v>2161</v>
      </c>
      <c r="C1527" t="s">
        <v>2162</v>
      </c>
      <c r="D1527">
        <v>4</v>
      </c>
      <c r="E1527" t="s">
        <v>1447</v>
      </c>
      <c r="F1527" t="s">
        <v>2165</v>
      </c>
      <c r="G1527" t="s">
        <v>1811</v>
      </c>
      <c r="H1527" t="s">
        <v>1799</v>
      </c>
      <c r="I1527">
        <v>2</v>
      </c>
      <c r="J1527" t="s">
        <v>1799</v>
      </c>
      <c r="K1527" t="s">
        <v>1799</v>
      </c>
      <c r="L1527" t="s">
        <v>1799</v>
      </c>
      <c r="M1527" t="s">
        <v>1799</v>
      </c>
      <c r="N1527" t="s">
        <v>1799</v>
      </c>
      <c r="O1527" s="184" t="str">
        <f>"["&amp;$C1527&amp;"]["&amp;$D1527&amp;"]["&amp;$F1527&amp;"]"</f>
        <v>[S05_ImprovementReportArt69][4][ImprovementReportRequired]</v>
      </c>
    </row>
    <row r="1528" spans="1:15" x14ac:dyDescent="0.3">
      <c r="A1528" t="s">
        <v>1793</v>
      </c>
      <c r="B1528" t="s">
        <v>2161</v>
      </c>
      <c r="C1528" t="s">
        <v>2162</v>
      </c>
      <c r="D1528">
        <v>5</v>
      </c>
      <c r="E1528" t="s">
        <v>1447</v>
      </c>
      <c r="F1528" t="s">
        <v>2165</v>
      </c>
      <c r="G1528" t="s">
        <v>1811</v>
      </c>
      <c r="H1528" t="s">
        <v>1799</v>
      </c>
      <c r="I1528">
        <v>1</v>
      </c>
      <c r="J1528" t="s">
        <v>1799</v>
      </c>
      <c r="K1528" t="s">
        <v>1799</v>
      </c>
      <c r="L1528" t="s">
        <v>1799</v>
      </c>
      <c r="M1528" t="s">
        <v>1799</v>
      </c>
      <c r="N1528" t="s">
        <v>1799</v>
      </c>
      <c r="O1528" s="184" t="str">
        <f>"["&amp;$C1528&amp;"]["&amp;$D1528&amp;"]["&amp;$F1528&amp;"]"</f>
        <v>[S05_ImprovementReportArt69][5][ImprovementReportRequired]</v>
      </c>
    </row>
    <row r="1529" spans="1:15" x14ac:dyDescent="0.3">
      <c r="A1529" t="s">
        <v>1793</v>
      </c>
      <c r="B1529" t="s">
        <v>2161</v>
      </c>
      <c r="C1529" t="s">
        <v>2162</v>
      </c>
      <c r="D1529">
        <v>6</v>
      </c>
      <c r="E1529" t="s">
        <v>1447</v>
      </c>
      <c r="F1529" t="s">
        <v>2165</v>
      </c>
      <c r="G1529" t="s">
        <v>1811</v>
      </c>
      <c r="H1529" t="s">
        <v>1799</v>
      </c>
      <c r="I1529">
        <v>1</v>
      </c>
      <c r="J1529" t="s">
        <v>1799</v>
      </c>
      <c r="K1529" t="s">
        <v>1799</v>
      </c>
      <c r="L1529" t="s">
        <v>1799</v>
      </c>
      <c r="M1529" t="s">
        <v>1799</v>
      </c>
      <c r="N1529" t="s">
        <v>1799</v>
      </c>
      <c r="O1529" s="184" t="str">
        <f>"["&amp;$C1529&amp;"]["&amp;$D1529&amp;"]["&amp;$F1529&amp;"]"</f>
        <v>[S05_ImprovementReportArt69][6][ImprovementReportRequired]</v>
      </c>
    </row>
    <row r="1530" spans="1:15" x14ac:dyDescent="0.3">
      <c r="A1530" t="s">
        <v>1793</v>
      </c>
      <c r="B1530" t="s">
        <v>2161</v>
      </c>
      <c r="C1530" t="s">
        <v>2162</v>
      </c>
      <c r="D1530">
        <v>7</v>
      </c>
      <c r="E1530" t="s">
        <v>1447</v>
      </c>
      <c r="F1530" t="s">
        <v>2165</v>
      </c>
      <c r="G1530" t="s">
        <v>1811</v>
      </c>
      <c r="H1530" t="s">
        <v>1799</v>
      </c>
      <c r="I1530">
        <v>3</v>
      </c>
      <c r="J1530" t="s">
        <v>1799</v>
      </c>
      <c r="K1530" t="s">
        <v>1799</v>
      </c>
      <c r="L1530" t="s">
        <v>1799</v>
      </c>
      <c r="M1530" t="s">
        <v>1799</v>
      </c>
      <c r="N1530" t="s">
        <v>1799</v>
      </c>
      <c r="O1530" s="184" t="str">
        <f>"["&amp;$C1530&amp;"]["&amp;$D1530&amp;"]["&amp;$F1530&amp;"]"</f>
        <v>[S05_ImprovementReportArt69][7][ImprovementReportRequired]</v>
      </c>
    </row>
    <row r="1531" spans="1:15" x14ac:dyDescent="0.3">
      <c r="A1531" t="s">
        <v>1793</v>
      </c>
      <c r="B1531" t="s">
        <v>2161</v>
      </c>
      <c r="C1531" t="s">
        <v>2162</v>
      </c>
      <c r="D1531">
        <v>8</v>
      </c>
      <c r="E1531" t="s">
        <v>1447</v>
      </c>
      <c r="F1531" t="s">
        <v>2165</v>
      </c>
      <c r="G1531" t="s">
        <v>1811</v>
      </c>
      <c r="H1531" t="s">
        <v>1799</v>
      </c>
      <c r="I1531">
        <v>16</v>
      </c>
      <c r="J1531" t="s">
        <v>1799</v>
      </c>
      <c r="K1531" t="s">
        <v>1799</v>
      </c>
      <c r="L1531" t="s">
        <v>1799</v>
      </c>
      <c r="M1531" t="s">
        <v>1799</v>
      </c>
      <c r="N1531" t="s">
        <v>1799</v>
      </c>
      <c r="O1531" s="184" t="str">
        <f>"["&amp;$C1531&amp;"]["&amp;$D1531&amp;"]["&amp;$F1531&amp;"]"</f>
        <v>[S05_ImprovementReportArt69][8][ImprovementReportRequired]</v>
      </c>
    </row>
    <row r="1532" spans="1:15" x14ac:dyDescent="0.3">
      <c r="A1532" t="s">
        <v>1793</v>
      </c>
      <c r="B1532" t="s">
        <v>2161</v>
      </c>
      <c r="C1532" t="s">
        <v>2162</v>
      </c>
      <c r="D1532">
        <v>9</v>
      </c>
      <c r="E1532" t="s">
        <v>1447</v>
      </c>
      <c r="F1532" t="s">
        <v>2165</v>
      </c>
      <c r="G1532" t="s">
        <v>1811</v>
      </c>
      <c r="H1532" t="s">
        <v>1799</v>
      </c>
      <c r="I1532">
        <v>2</v>
      </c>
      <c r="J1532" t="s">
        <v>1799</v>
      </c>
      <c r="K1532" t="s">
        <v>1799</v>
      </c>
      <c r="L1532" t="s">
        <v>1799</v>
      </c>
      <c r="M1532" t="s">
        <v>1799</v>
      </c>
      <c r="N1532" t="s">
        <v>1799</v>
      </c>
      <c r="O1532" s="184" t="str">
        <f>"["&amp;$C1532&amp;"]["&amp;$D1532&amp;"]["&amp;$F1532&amp;"]"</f>
        <v>[S05_ImprovementReportArt69][9][ImprovementReportRequired]</v>
      </c>
    </row>
    <row r="1533" spans="1:15" x14ac:dyDescent="0.3">
      <c r="A1533" t="s">
        <v>1793</v>
      </c>
      <c r="B1533" t="s">
        <v>2161</v>
      </c>
      <c r="C1533" t="s">
        <v>2162</v>
      </c>
      <c r="D1533">
        <v>10</v>
      </c>
      <c r="E1533" t="s">
        <v>1447</v>
      </c>
      <c r="F1533" t="s">
        <v>2165</v>
      </c>
      <c r="G1533" t="s">
        <v>1811</v>
      </c>
      <c r="H1533" t="s">
        <v>1799</v>
      </c>
      <c r="I1533">
        <v>9</v>
      </c>
      <c r="J1533" t="s">
        <v>1799</v>
      </c>
      <c r="K1533" t="s">
        <v>1799</v>
      </c>
      <c r="L1533" t="s">
        <v>1799</v>
      </c>
      <c r="M1533" t="s">
        <v>1799</v>
      </c>
      <c r="N1533" t="s">
        <v>1799</v>
      </c>
      <c r="O1533" s="184" t="str">
        <f>"["&amp;$C1533&amp;"]["&amp;$D1533&amp;"]["&amp;$F1533&amp;"]"</f>
        <v>[S05_ImprovementReportArt69][10][ImprovementReportRequired]</v>
      </c>
    </row>
    <row r="1534" spans="1:15" x14ac:dyDescent="0.3">
      <c r="A1534" t="s">
        <v>1793</v>
      </c>
      <c r="B1534" t="s">
        <v>2161</v>
      </c>
      <c r="C1534" t="s">
        <v>2162</v>
      </c>
      <c r="D1534">
        <v>11</v>
      </c>
      <c r="E1534" t="s">
        <v>1447</v>
      </c>
      <c r="F1534" t="s">
        <v>2165</v>
      </c>
      <c r="G1534" t="s">
        <v>1811</v>
      </c>
      <c r="H1534" t="s">
        <v>1799</v>
      </c>
      <c r="I1534">
        <v>5</v>
      </c>
      <c r="J1534" t="s">
        <v>1799</v>
      </c>
      <c r="K1534" t="s">
        <v>1799</v>
      </c>
      <c r="L1534" t="s">
        <v>1799</v>
      </c>
      <c r="M1534" t="s">
        <v>1799</v>
      </c>
      <c r="N1534" t="s">
        <v>1799</v>
      </c>
      <c r="O1534" s="184" t="str">
        <f>"["&amp;$C1534&amp;"]["&amp;$D1534&amp;"]["&amp;$F1534&amp;"]"</f>
        <v>[S05_ImprovementReportArt69][11][ImprovementReportRequired]</v>
      </c>
    </row>
    <row r="1535" spans="1:15" x14ac:dyDescent="0.3">
      <c r="A1535" t="s">
        <v>1793</v>
      </c>
      <c r="B1535" t="s">
        <v>2161</v>
      </c>
      <c r="C1535" t="s">
        <v>2162</v>
      </c>
      <c r="D1535">
        <v>12</v>
      </c>
      <c r="E1535" t="s">
        <v>1447</v>
      </c>
      <c r="F1535" t="s">
        <v>2165</v>
      </c>
      <c r="G1535" t="s">
        <v>1811</v>
      </c>
      <c r="H1535" t="s">
        <v>1799</v>
      </c>
      <c r="I1535">
        <v>2</v>
      </c>
      <c r="J1535" t="s">
        <v>1799</v>
      </c>
      <c r="K1535" t="s">
        <v>1799</v>
      </c>
      <c r="L1535" t="s">
        <v>1799</v>
      </c>
      <c r="M1535" t="s">
        <v>1799</v>
      </c>
      <c r="N1535" t="s">
        <v>1799</v>
      </c>
      <c r="O1535" s="184" t="str">
        <f>"["&amp;$C1535&amp;"]["&amp;$D1535&amp;"]["&amp;$F1535&amp;"]"</f>
        <v>[S05_ImprovementReportArt69][12][ImprovementReportRequired]</v>
      </c>
    </row>
    <row r="1536" spans="1:15" x14ac:dyDescent="0.3">
      <c r="A1536" t="s">
        <v>1793</v>
      </c>
      <c r="B1536" t="s">
        <v>2161</v>
      </c>
      <c r="C1536" t="s">
        <v>2162</v>
      </c>
      <c r="D1536">
        <v>13</v>
      </c>
      <c r="E1536" t="s">
        <v>1447</v>
      </c>
      <c r="F1536" t="s">
        <v>2165</v>
      </c>
      <c r="G1536" t="s">
        <v>1811</v>
      </c>
      <c r="H1536" t="s">
        <v>1799</v>
      </c>
      <c r="I1536">
        <v>2</v>
      </c>
      <c r="J1536" t="s">
        <v>1799</v>
      </c>
      <c r="K1536" t="s">
        <v>1799</v>
      </c>
      <c r="L1536" t="s">
        <v>1799</v>
      </c>
      <c r="M1536" t="s">
        <v>1799</v>
      </c>
      <c r="N1536" t="s">
        <v>1799</v>
      </c>
      <c r="O1536" s="184" t="str">
        <f>"["&amp;$C1536&amp;"]["&amp;$D1536&amp;"]["&amp;$F1536&amp;"]"</f>
        <v>[S05_ImprovementReportArt69][13][ImprovementReportRequired]</v>
      </c>
    </row>
    <row r="1537" spans="1:15" x14ac:dyDescent="0.3">
      <c r="A1537" t="s">
        <v>1793</v>
      </c>
      <c r="B1537" t="s">
        <v>2161</v>
      </c>
      <c r="C1537" t="s">
        <v>2162</v>
      </c>
      <c r="D1537">
        <v>14</v>
      </c>
      <c r="E1537" t="s">
        <v>1447</v>
      </c>
      <c r="F1537" t="s">
        <v>2165</v>
      </c>
      <c r="G1537" t="s">
        <v>1811</v>
      </c>
      <c r="H1537" t="s">
        <v>1799</v>
      </c>
      <c r="I1537">
        <v>2</v>
      </c>
      <c r="J1537" t="s">
        <v>1799</v>
      </c>
      <c r="K1537" t="s">
        <v>1799</v>
      </c>
      <c r="L1537" t="s">
        <v>1799</v>
      </c>
      <c r="M1537" t="s">
        <v>1799</v>
      </c>
      <c r="N1537" t="s">
        <v>1799</v>
      </c>
      <c r="O1537" s="184" t="str">
        <f>"["&amp;$C1537&amp;"]["&amp;$D1537&amp;"]["&amp;$F1537&amp;"]"</f>
        <v>[S05_ImprovementReportArt69][14][ImprovementReportRequired]</v>
      </c>
    </row>
    <row r="1538" spans="1:15" x14ac:dyDescent="0.3">
      <c r="A1538" t="s">
        <v>1793</v>
      </c>
      <c r="B1538" t="s">
        <v>2161</v>
      </c>
      <c r="C1538" t="s">
        <v>2162</v>
      </c>
      <c r="D1538">
        <v>15</v>
      </c>
      <c r="E1538" t="s">
        <v>1447</v>
      </c>
      <c r="F1538" t="s">
        <v>2165</v>
      </c>
      <c r="G1538" t="s">
        <v>1811</v>
      </c>
      <c r="H1538" t="s">
        <v>1799</v>
      </c>
      <c r="I1538">
        <v>2</v>
      </c>
      <c r="J1538" t="s">
        <v>1799</v>
      </c>
      <c r="K1538" t="s">
        <v>1799</v>
      </c>
      <c r="L1538" t="s">
        <v>1799</v>
      </c>
      <c r="M1538" t="s">
        <v>1799</v>
      </c>
      <c r="N1538" t="s">
        <v>1799</v>
      </c>
      <c r="O1538" s="184" t="str">
        <f>"["&amp;$C1538&amp;"]["&amp;$D1538&amp;"]["&amp;$F1538&amp;"]"</f>
        <v>[S05_ImprovementReportArt69][15][ImprovementReportRequired]</v>
      </c>
    </row>
    <row r="1539" spans="1:15" x14ac:dyDescent="0.3">
      <c r="A1539" t="s">
        <v>1793</v>
      </c>
      <c r="B1539" t="s">
        <v>2161</v>
      </c>
      <c r="C1539" t="s">
        <v>2162</v>
      </c>
      <c r="D1539">
        <v>16</v>
      </c>
      <c r="E1539" t="s">
        <v>1447</v>
      </c>
      <c r="F1539" t="s">
        <v>2165</v>
      </c>
      <c r="G1539" t="s">
        <v>1811</v>
      </c>
      <c r="H1539" t="s">
        <v>1799</v>
      </c>
      <c r="I1539">
        <v>10</v>
      </c>
      <c r="J1539" t="s">
        <v>1799</v>
      </c>
      <c r="K1539" t="s">
        <v>1799</v>
      </c>
      <c r="L1539" t="s">
        <v>1799</v>
      </c>
      <c r="M1539" t="s">
        <v>1799</v>
      </c>
      <c r="N1539" t="s">
        <v>1799</v>
      </c>
      <c r="O1539" s="184" t="str">
        <f>"["&amp;$C1539&amp;"]["&amp;$D1539&amp;"]["&amp;$F1539&amp;"]"</f>
        <v>[S05_ImprovementReportArt69][16][ImprovementReportRequired]</v>
      </c>
    </row>
    <row r="1540" spans="1:15" x14ac:dyDescent="0.3">
      <c r="A1540" t="s">
        <v>1793</v>
      </c>
      <c r="B1540" t="s">
        <v>2161</v>
      </c>
      <c r="C1540" t="s">
        <v>2162</v>
      </c>
      <c r="D1540">
        <v>17</v>
      </c>
      <c r="E1540" t="s">
        <v>1447</v>
      </c>
      <c r="F1540" t="s">
        <v>2165</v>
      </c>
      <c r="G1540" t="s">
        <v>1811</v>
      </c>
      <c r="H1540" t="s">
        <v>1799</v>
      </c>
      <c r="I1540">
        <v>1</v>
      </c>
      <c r="J1540" t="s">
        <v>1799</v>
      </c>
      <c r="K1540" t="s">
        <v>1799</v>
      </c>
      <c r="L1540" t="s">
        <v>1799</v>
      </c>
      <c r="M1540" t="s">
        <v>1799</v>
      </c>
      <c r="N1540" t="s">
        <v>1799</v>
      </c>
      <c r="O1540" s="184" t="str">
        <f>"["&amp;$C1540&amp;"]["&amp;$D1540&amp;"]["&amp;$F1540&amp;"]"</f>
        <v>[S05_ImprovementReportArt69][17][ImprovementReportRequired]</v>
      </c>
    </row>
    <row r="1541" spans="1:15" x14ac:dyDescent="0.3">
      <c r="A1541" t="s">
        <v>1793</v>
      </c>
      <c r="B1541" t="s">
        <v>2161</v>
      </c>
      <c r="C1541" t="s">
        <v>2162</v>
      </c>
      <c r="D1541">
        <v>18</v>
      </c>
      <c r="E1541" t="s">
        <v>1447</v>
      </c>
      <c r="F1541" t="s">
        <v>2165</v>
      </c>
      <c r="G1541" t="s">
        <v>1811</v>
      </c>
      <c r="H1541" t="s">
        <v>1799</v>
      </c>
      <c r="I1541">
        <v>1</v>
      </c>
      <c r="J1541" t="s">
        <v>1799</v>
      </c>
      <c r="K1541" t="s">
        <v>1799</v>
      </c>
      <c r="L1541" t="s">
        <v>1799</v>
      </c>
      <c r="M1541" t="s">
        <v>1799</v>
      </c>
      <c r="N1541" t="s">
        <v>1799</v>
      </c>
      <c r="O1541" s="184" t="str">
        <f>"["&amp;$C1541&amp;"]["&amp;$D1541&amp;"]["&amp;$F1541&amp;"]"</f>
        <v>[S05_ImprovementReportArt69][18][ImprovementReportRequired]</v>
      </c>
    </row>
    <row r="1542" spans="1:15" x14ac:dyDescent="0.3">
      <c r="A1542" t="s">
        <v>1793</v>
      </c>
      <c r="B1542" t="s">
        <v>2161</v>
      </c>
      <c r="C1542" t="s">
        <v>2162</v>
      </c>
      <c r="D1542">
        <v>19</v>
      </c>
      <c r="E1542" t="s">
        <v>1447</v>
      </c>
      <c r="F1542" t="s">
        <v>2165</v>
      </c>
      <c r="G1542" t="s">
        <v>1811</v>
      </c>
      <c r="H1542" t="s">
        <v>1799</v>
      </c>
      <c r="I1542">
        <v>1</v>
      </c>
      <c r="J1542" t="s">
        <v>1799</v>
      </c>
      <c r="K1542" t="s">
        <v>1799</v>
      </c>
      <c r="L1542" t="s">
        <v>1799</v>
      </c>
      <c r="M1542" t="s">
        <v>1799</v>
      </c>
      <c r="N1542" t="s">
        <v>1799</v>
      </c>
      <c r="O1542" s="184" t="str">
        <f>"["&amp;$C1542&amp;"]["&amp;$D1542&amp;"]["&amp;$F1542&amp;"]"</f>
        <v>[S05_ImprovementReportArt69][19][ImprovementReportRequired]</v>
      </c>
    </row>
    <row r="1543" spans="1:15" x14ac:dyDescent="0.3">
      <c r="A1543" t="s">
        <v>1793</v>
      </c>
      <c r="B1543" t="s">
        <v>2161</v>
      </c>
      <c r="C1543" t="s">
        <v>2162</v>
      </c>
      <c r="D1543">
        <v>20</v>
      </c>
      <c r="E1543" t="s">
        <v>1447</v>
      </c>
      <c r="F1543" t="s">
        <v>2165</v>
      </c>
      <c r="G1543" t="s">
        <v>1811</v>
      </c>
      <c r="H1543" t="s">
        <v>1799</v>
      </c>
      <c r="I1543">
        <v>4</v>
      </c>
      <c r="J1543" t="s">
        <v>1799</v>
      </c>
      <c r="K1543" t="s">
        <v>1799</v>
      </c>
      <c r="L1543" t="s">
        <v>1799</v>
      </c>
      <c r="M1543" t="s">
        <v>1799</v>
      </c>
      <c r="N1543" t="s">
        <v>1799</v>
      </c>
      <c r="O1543" s="184" t="str">
        <f>"["&amp;$C1543&amp;"]["&amp;$D1543&amp;"]["&amp;$F1543&amp;"]"</f>
        <v>[S05_ImprovementReportArt69][20][ImprovementReportRequired]</v>
      </c>
    </row>
    <row r="1544" spans="1:15" x14ac:dyDescent="0.3">
      <c r="A1544" t="s">
        <v>1793</v>
      </c>
      <c r="B1544" t="s">
        <v>2161</v>
      </c>
      <c r="C1544" t="s">
        <v>2162</v>
      </c>
      <c r="D1544">
        <v>21</v>
      </c>
      <c r="E1544" t="s">
        <v>1447</v>
      </c>
      <c r="F1544" t="s">
        <v>2165</v>
      </c>
      <c r="G1544" t="s">
        <v>1811</v>
      </c>
      <c r="H1544" t="s">
        <v>1799</v>
      </c>
      <c r="I1544">
        <v>6</v>
      </c>
      <c r="J1544" t="s">
        <v>1799</v>
      </c>
      <c r="K1544" t="s">
        <v>1799</v>
      </c>
      <c r="L1544" t="s">
        <v>1799</v>
      </c>
      <c r="M1544" t="s">
        <v>1799</v>
      </c>
      <c r="N1544" t="s">
        <v>1799</v>
      </c>
      <c r="O1544" s="184" t="str">
        <f>"["&amp;$C1544&amp;"]["&amp;$D1544&amp;"]["&amp;$F1544&amp;"]"</f>
        <v>[S05_ImprovementReportArt69][21][ImprovementReportRequired]</v>
      </c>
    </row>
    <row r="1545" spans="1:15" x14ac:dyDescent="0.3">
      <c r="A1545" t="s">
        <v>1793</v>
      </c>
      <c r="B1545" t="s">
        <v>2161</v>
      </c>
      <c r="C1545" t="s">
        <v>2162</v>
      </c>
      <c r="D1545">
        <v>22</v>
      </c>
      <c r="E1545" t="s">
        <v>1447</v>
      </c>
      <c r="F1545" t="s">
        <v>2165</v>
      </c>
      <c r="G1545" t="s">
        <v>1811</v>
      </c>
      <c r="H1545" t="s">
        <v>1799</v>
      </c>
      <c r="I1545">
        <v>2</v>
      </c>
      <c r="J1545" t="s">
        <v>1799</v>
      </c>
      <c r="K1545" t="s">
        <v>1799</v>
      </c>
      <c r="L1545" t="s">
        <v>1799</v>
      </c>
      <c r="M1545" t="s">
        <v>1799</v>
      </c>
      <c r="N1545" t="s">
        <v>1799</v>
      </c>
      <c r="O1545" s="184" t="str">
        <f>"["&amp;$C1545&amp;"]["&amp;$D1545&amp;"]["&amp;$F1545&amp;"]"</f>
        <v>[S05_ImprovementReportArt69][22][ImprovementReportRequired]</v>
      </c>
    </row>
    <row r="1546" spans="1:15" x14ac:dyDescent="0.3">
      <c r="A1546" t="s">
        <v>1793</v>
      </c>
      <c r="B1546" t="s">
        <v>2161</v>
      </c>
      <c r="C1546" t="s">
        <v>2162</v>
      </c>
      <c r="D1546">
        <v>23</v>
      </c>
      <c r="E1546" t="s">
        <v>1447</v>
      </c>
      <c r="F1546" t="s">
        <v>2165</v>
      </c>
      <c r="G1546" t="s">
        <v>1811</v>
      </c>
      <c r="H1546" t="s">
        <v>1799</v>
      </c>
      <c r="I1546">
        <v>2</v>
      </c>
      <c r="J1546" t="s">
        <v>1799</v>
      </c>
      <c r="K1546" t="s">
        <v>1799</v>
      </c>
      <c r="L1546" t="s">
        <v>1799</v>
      </c>
      <c r="M1546" t="s">
        <v>1799</v>
      </c>
      <c r="N1546" t="s">
        <v>1799</v>
      </c>
      <c r="O1546" s="184" t="str">
        <f>"["&amp;$C1546&amp;"]["&amp;$D1546&amp;"]["&amp;$F1546&amp;"]"</f>
        <v>[S05_ImprovementReportArt69][23][ImprovementReportRequired]</v>
      </c>
    </row>
    <row r="1547" spans="1:15" x14ac:dyDescent="0.3">
      <c r="A1547" t="s">
        <v>1793</v>
      </c>
      <c r="B1547" t="s">
        <v>2161</v>
      </c>
      <c r="C1547" t="s">
        <v>2162</v>
      </c>
      <c r="D1547">
        <v>24</v>
      </c>
      <c r="E1547" t="s">
        <v>1447</v>
      </c>
      <c r="F1547" t="s">
        <v>2165</v>
      </c>
      <c r="G1547" t="s">
        <v>1811</v>
      </c>
      <c r="H1547" t="s">
        <v>1799</v>
      </c>
      <c r="I1547">
        <v>1</v>
      </c>
      <c r="J1547" t="s">
        <v>1799</v>
      </c>
      <c r="K1547" t="s">
        <v>1799</v>
      </c>
      <c r="L1547" t="s">
        <v>1799</v>
      </c>
      <c r="M1547" t="s">
        <v>1799</v>
      </c>
      <c r="N1547" t="s">
        <v>1799</v>
      </c>
      <c r="O1547" s="184" t="str">
        <f>"["&amp;$C1547&amp;"]["&amp;$D1547&amp;"]["&amp;$F1547&amp;"]"</f>
        <v>[S05_ImprovementReportArt69][24][ImprovementReportRequired]</v>
      </c>
    </row>
    <row r="1548" spans="1:15" x14ac:dyDescent="0.3">
      <c r="A1548" t="s">
        <v>1793</v>
      </c>
      <c r="B1548" t="s">
        <v>2161</v>
      </c>
      <c r="C1548" t="s">
        <v>2162</v>
      </c>
      <c r="D1548">
        <v>25</v>
      </c>
      <c r="E1548" t="s">
        <v>1447</v>
      </c>
      <c r="F1548" t="s">
        <v>2165</v>
      </c>
      <c r="G1548" t="s">
        <v>1811</v>
      </c>
      <c r="H1548" t="s">
        <v>1799</v>
      </c>
      <c r="I1548">
        <v>2</v>
      </c>
      <c r="J1548" t="s">
        <v>1799</v>
      </c>
      <c r="K1548" t="s">
        <v>1799</v>
      </c>
      <c r="L1548" t="s">
        <v>1799</v>
      </c>
      <c r="M1548" t="s">
        <v>1799</v>
      </c>
      <c r="N1548" t="s">
        <v>1799</v>
      </c>
      <c r="O1548" s="184" t="str">
        <f>"["&amp;$C1548&amp;"]["&amp;$D1548&amp;"]["&amp;$F1548&amp;"]"</f>
        <v>[S05_ImprovementReportArt69][25][ImprovementReportRequired]</v>
      </c>
    </row>
    <row r="1549" spans="1:15" x14ac:dyDescent="0.3">
      <c r="A1549" t="s">
        <v>1793</v>
      </c>
      <c r="B1549" t="s">
        <v>2161</v>
      </c>
      <c r="C1549" t="s">
        <v>2162</v>
      </c>
      <c r="D1549">
        <v>26</v>
      </c>
      <c r="E1549" t="s">
        <v>1447</v>
      </c>
      <c r="F1549" t="s">
        <v>2165</v>
      </c>
      <c r="G1549" t="s">
        <v>1811</v>
      </c>
      <c r="H1549" t="s">
        <v>1799</v>
      </c>
      <c r="I1549">
        <v>1</v>
      </c>
      <c r="J1549" t="s">
        <v>1799</v>
      </c>
      <c r="K1549" t="s">
        <v>1799</v>
      </c>
      <c r="L1549" t="s">
        <v>1799</v>
      </c>
      <c r="M1549" t="s">
        <v>1799</v>
      </c>
      <c r="N1549" t="s">
        <v>1799</v>
      </c>
      <c r="O1549" s="184" t="str">
        <f>"["&amp;$C1549&amp;"]["&amp;$D1549&amp;"]["&amp;$F1549&amp;"]"</f>
        <v>[S05_ImprovementReportArt69][26][ImprovementReportRequired]</v>
      </c>
    </row>
    <row r="1550" spans="1:15" x14ac:dyDescent="0.3">
      <c r="A1550" t="s">
        <v>1793</v>
      </c>
      <c r="B1550" t="s">
        <v>2161</v>
      </c>
      <c r="C1550" t="s">
        <v>2162</v>
      </c>
      <c r="D1550">
        <v>27</v>
      </c>
      <c r="E1550" t="s">
        <v>1447</v>
      </c>
      <c r="F1550" t="s">
        <v>2165</v>
      </c>
      <c r="G1550" t="s">
        <v>1811</v>
      </c>
      <c r="H1550" t="s">
        <v>1799</v>
      </c>
      <c r="I1550">
        <v>2</v>
      </c>
      <c r="J1550" t="s">
        <v>1799</v>
      </c>
      <c r="K1550" t="s">
        <v>1799</v>
      </c>
      <c r="L1550" t="s">
        <v>1799</v>
      </c>
      <c r="M1550" t="s">
        <v>1799</v>
      </c>
      <c r="N1550" t="s">
        <v>1799</v>
      </c>
      <c r="O1550" s="184" t="str">
        <f>"["&amp;$C1550&amp;"]["&amp;$D1550&amp;"]["&amp;$F1550&amp;"]"</f>
        <v>[S05_ImprovementReportArt69][27][ImprovementReportRequired]</v>
      </c>
    </row>
    <row r="1551" spans="1:15" x14ac:dyDescent="0.3">
      <c r="A1551" t="s">
        <v>1793</v>
      </c>
      <c r="B1551" t="s">
        <v>2161</v>
      </c>
      <c r="C1551" t="s">
        <v>2162</v>
      </c>
      <c r="D1551">
        <v>1</v>
      </c>
      <c r="E1551" t="s">
        <v>1447</v>
      </c>
      <c r="F1551" t="s">
        <v>2166</v>
      </c>
      <c r="G1551" t="s">
        <v>1811</v>
      </c>
      <c r="H1551" t="s">
        <v>1799</v>
      </c>
      <c r="I1551">
        <v>11</v>
      </c>
      <c r="J1551" t="s">
        <v>1799</v>
      </c>
      <c r="K1551" t="s">
        <v>1799</v>
      </c>
      <c r="L1551" t="s">
        <v>1799</v>
      </c>
      <c r="M1551" t="s">
        <v>1799</v>
      </c>
      <c r="N1551" t="s">
        <v>1799</v>
      </c>
      <c r="O1551" s="184" t="str">
        <f>"["&amp;$C1551&amp;"]["&amp;$D1551&amp;"]["&amp;$F1551&amp;"]"</f>
        <v>[S05_ImprovementReportArt69][1][ImprovementReportSubmitted]</v>
      </c>
    </row>
    <row r="1552" spans="1:15" x14ac:dyDescent="0.3">
      <c r="A1552" t="s">
        <v>1793</v>
      </c>
      <c r="B1552" t="s">
        <v>2161</v>
      </c>
      <c r="C1552" t="s">
        <v>2162</v>
      </c>
      <c r="D1552">
        <v>2</v>
      </c>
      <c r="E1552" t="s">
        <v>1447</v>
      </c>
      <c r="F1552" t="s">
        <v>2166</v>
      </c>
      <c r="G1552" t="s">
        <v>1811</v>
      </c>
      <c r="H1552" t="s">
        <v>1799</v>
      </c>
      <c r="I1552">
        <v>1</v>
      </c>
      <c r="J1552" t="s">
        <v>1799</v>
      </c>
      <c r="K1552" t="s">
        <v>1799</v>
      </c>
      <c r="L1552" t="s">
        <v>1799</v>
      </c>
      <c r="M1552" t="s">
        <v>1799</v>
      </c>
      <c r="N1552" t="s">
        <v>1799</v>
      </c>
      <c r="O1552" s="184" t="str">
        <f>"["&amp;$C1552&amp;"]["&amp;$D1552&amp;"]["&amp;$F1552&amp;"]"</f>
        <v>[S05_ImprovementReportArt69][2][ImprovementReportSubmitted]</v>
      </c>
    </row>
    <row r="1553" spans="1:15" x14ac:dyDescent="0.3">
      <c r="A1553" t="s">
        <v>1793</v>
      </c>
      <c r="B1553" t="s">
        <v>2161</v>
      </c>
      <c r="C1553" t="s">
        <v>2162</v>
      </c>
      <c r="D1553">
        <v>3</v>
      </c>
      <c r="E1553" t="s">
        <v>1447</v>
      </c>
      <c r="F1553" t="s">
        <v>2166</v>
      </c>
      <c r="G1553" t="s">
        <v>1811</v>
      </c>
      <c r="H1553" t="s">
        <v>1799</v>
      </c>
      <c r="I1553">
        <v>1</v>
      </c>
      <c r="J1553" t="s">
        <v>1799</v>
      </c>
      <c r="K1553" t="s">
        <v>1799</v>
      </c>
      <c r="L1553" t="s">
        <v>1799</v>
      </c>
      <c r="M1553" t="s">
        <v>1799</v>
      </c>
      <c r="N1553" t="s">
        <v>1799</v>
      </c>
      <c r="O1553" s="184" t="str">
        <f>"["&amp;$C1553&amp;"]["&amp;$D1553&amp;"]["&amp;$F1553&amp;"]"</f>
        <v>[S05_ImprovementReportArt69][3][ImprovementReportSubmitted]</v>
      </c>
    </row>
    <row r="1554" spans="1:15" x14ac:dyDescent="0.3">
      <c r="A1554" t="s">
        <v>1793</v>
      </c>
      <c r="B1554" t="s">
        <v>2161</v>
      </c>
      <c r="C1554" t="s">
        <v>2162</v>
      </c>
      <c r="D1554">
        <v>4</v>
      </c>
      <c r="E1554" t="s">
        <v>1447</v>
      </c>
      <c r="F1554" t="s">
        <v>2166</v>
      </c>
      <c r="G1554" t="s">
        <v>1811</v>
      </c>
      <c r="H1554" t="s">
        <v>1799</v>
      </c>
      <c r="I1554">
        <v>2</v>
      </c>
      <c r="J1554" t="s">
        <v>1799</v>
      </c>
      <c r="K1554" t="s">
        <v>1799</v>
      </c>
      <c r="L1554" t="s">
        <v>1799</v>
      </c>
      <c r="M1554" t="s">
        <v>1799</v>
      </c>
      <c r="N1554" t="s">
        <v>1799</v>
      </c>
      <c r="O1554" s="184" t="str">
        <f>"["&amp;$C1554&amp;"]["&amp;$D1554&amp;"]["&amp;$F1554&amp;"]"</f>
        <v>[S05_ImprovementReportArt69][4][ImprovementReportSubmitted]</v>
      </c>
    </row>
    <row r="1555" spans="1:15" x14ac:dyDescent="0.3">
      <c r="A1555" t="s">
        <v>1793</v>
      </c>
      <c r="B1555" t="s">
        <v>2161</v>
      </c>
      <c r="C1555" t="s">
        <v>2162</v>
      </c>
      <c r="D1555">
        <v>5</v>
      </c>
      <c r="E1555" t="s">
        <v>1447</v>
      </c>
      <c r="F1555" t="s">
        <v>2166</v>
      </c>
      <c r="G1555" t="s">
        <v>1811</v>
      </c>
      <c r="H1555" t="s">
        <v>1799</v>
      </c>
      <c r="I1555">
        <v>1</v>
      </c>
      <c r="J1555" t="s">
        <v>1799</v>
      </c>
      <c r="K1555" t="s">
        <v>1799</v>
      </c>
      <c r="L1555" t="s">
        <v>1799</v>
      </c>
      <c r="M1555" t="s">
        <v>1799</v>
      </c>
      <c r="N1555" t="s">
        <v>1799</v>
      </c>
      <c r="O1555" s="184" t="str">
        <f>"["&amp;$C1555&amp;"]["&amp;$D1555&amp;"]["&amp;$F1555&amp;"]"</f>
        <v>[S05_ImprovementReportArt69][5][ImprovementReportSubmitted]</v>
      </c>
    </row>
    <row r="1556" spans="1:15" x14ac:dyDescent="0.3">
      <c r="A1556" t="s">
        <v>1793</v>
      </c>
      <c r="B1556" t="s">
        <v>2161</v>
      </c>
      <c r="C1556" t="s">
        <v>2162</v>
      </c>
      <c r="D1556">
        <v>6</v>
      </c>
      <c r="E1556" t="s">
        <v>1447</v>
      </c>
      <c r="F1556" t="s">
        <v>2166</v>
      </c>
      <c r="G1556" t="s">
        <v>1811</v>
      </c>
      <c r="H1556" t="s">
        <v>1799</v>
      </c>
      <c r="I1556">
        <v>1</v>
      </c>
      <c r="J1556" t="s">
        <v>1799</v>
      </c>
      <c r="K1556" t="s">
        <v>1799</v>
      </c>
      <c r="L1556" t="s">
        <v>1799</v>
      </c>
      <c r="M1556" t="s">
        <v>1799</v>
      </c>
      <c r="N1556" t="s">
        <v>1799</v>
      </c>
      <c r="O1556" s="184" t="str">
        <f>"["&amp;$C1556&amp;"]["&amp;$D1556&amp;"]["&amp;$F1556&amp;"]"</f>
        <v>[S05_ImprovementReportArt69][6][ImprovementReportSubmitted]</v>
      </c>
    </row>
    <row r="1557" spans="1:15" x14ac:dyDescent="0.3">
      <c r="A1557" t="s">
        <v>1793</v>
      </c>
      <c r="B1557" t="s">
        <v>2161</v>
      </c>
      <c r="C1557" t="s">
        <v>2162</v>
      </c>
      <c r="D1557">
        <v>7</v>
      </c>
      <c r="E1557" t="s">
        <v>1447</v>
      </c>
      <c r="F1557" t="s">
        <v>2166</v>
      </c>
      <c r="G1557" t="s">
        <v>1811</v>
      </c>
      <c r="H1557" t="s">
        <v>1799</v>
      </c>
      <c r="I1557">
        <v>3</v>
      </c>
      <c r="J1557" t="s">
        <v>1799</v>
      </c>
      <c r="K1557" t="s">
        <v>1799</v>
      </c>
      <c r="L1557" t="s">
        <v>1799</v>
      </c>
      <c r="M1557" t="s">
        <v>1799</v>
      </c>
      <c r="N1557" t="s">
        <v>1799</v>
      </c>
      <c r="O1557" s="184" t="str">
        <f>"["&amp;$C1557&amp;"]["&amp;$D1557&amp;"]["&amp;$F1557&amp;"]"</f>
        <v>[S05_ImprovementReportArt69][7][ImprovementReportSubmitted]</v>
      </c>
    </row>
    <row r="1558" spans="1:15" x14ac:dyDescent="0.3">
      <c r="A1558" t="s">
        <v>1793</v>
      </c>
      <c r="B1558" t="s">
        <v>2161</v>
      </c>
      <c r="C1558" t="s">
        <v>2162</v>
      </c>
      <c r="D1558">
        <v>8</v>
      </c>
      <c r="E1558" t="s">
        <v>1447</v>
      </c>
      <c r="F1558" t="s">
        <v>2166</v>
      </c>
      <c r="G1558" t="s">
        <v>1811</v>
      </c>
      <c r="H1558" t="s">
        <v>1799</v>
      </c>
      <c r="I1558">
        <v>16</v>
      </c>
      <c r="J1558" t="s">
        <v>1799</v>
      </c>
      <c r="K1558" t="s">
        <v>1799</v>
      </c>
      <c r="L1558" t="s">
        <v>1799</v>
      </c>
      <c r="M1558" t="s">
        <v>1799</v>
      </c>
      <c r="N1558" t="s">
        <v>1799</v>
      </c>
      <c r="O1558" s="184" t="str">
        <f>"["&amp;$C1558&amp;"]["&amp;$D1558&amp;"]["&amp;$F1558&amp;"]"</f>
        <v>[S05_ImprovementReportArt69][8][ImprovementReportSubmitted]</v>
      </c>
    </row>
    <row r="1559" spans="1:15" x14ac:dyDescent="0.3">
      <c r="A1559" t="s">
        <v>1793</v>
      </c>
      <c r="B1559" t="s">
        <v>2161</v>
      </c>
      <c r="C1559" t="s">
        <v>2162</v>
      </c>
      <c r="D1559">
        <v>9</v>
      </c>
      <c r="E1559" t="s">
        <v>1447</v>
      </c>
      <c r="F1559" t="s">
        <v>2166</v>
      </c>
      <c r="G1559" t="s">
        <v>1811</v>
      </c>
      <c r="H1559" t="s">
        <v>1799</v>
      </c>
      <c r="I1559">
        <v>2</v>
      </c>
      <c r="J1559" t="s">
        <v>1799</v>
      </c>
      <c r="K1559" t="s">
        <v>1799</v>
      </c>
      <c r="L1559" t="s">
        <v>1799</v>
      </c>
      <c r="M1559" t="s">
        <v>1799</v>
      </c>
      <c r="N1559" t="s">
        <v>1799</v>
      </c>
      <c r="O1559" s="184" t="str">
        <f>"["&amp;$C1559&amp;"]["&amp;$D1559&amp;"]["&amp;$F1559&amp;"]"</f>
        <v>[S05_ImprovementReportArt69][9][ImprovementReportSubmitted]</v>
      </c>
    </row>
    <row r="1560" spans="1:15" x14ac:dyDescent="0.3">
      <c r="A1560" t="s">
        <v>1793</v>
      </c>
      <c r="B1560" t="s">
        <v>2161</v>
      </c>
      <c r="C1560" t="s">
        <v>2162</v>
      </c>
      <c r="D1560">
        <v>10</v>
      </c>
      <c r="E1560" t="s">
        <v>1447</v>
      </c>
      <c r="F1560" t="s">
        <v>2166</v>
      </c>
      <c r="G1560" t="s">
        <v>1811</v>
      </c>
      <c r="H1560" t="s">
        <v>1799</v>
      </c>
      <c r="I1560">
        <v>9</v>
      </c>
      <c r="J1560" t="s">
        <v>1799</v>
      </c>
      <c r="K1560" t="s">
        <v>1799</v>
      </c>
      <c r="L1560" t="s">
        <v>1799</v>
      </c>
      <c r="M1560" t="s">
        <v>1799</v>
      </c>
      <c r="N1560" t="s">
        <v>1799</v>
      </c>
      <c r="O1560" s="184" t="str">
        <f>"["&amp;$C1560&amp;"]["&amp;$D1560&amp;"]["&amp;$F1560&amp;"]"</f>
        <v>[S05_ImprovementReportArt69][10][ImprovementReportSubmitted]</v>
      </c>
    </row>
    <row r="1561" spans="1:15" x14ac:dyDescent="0.3">
      <c r="A1561" t="s">
        <v>1793</v>
      </c>
      <c r="B1561" t="s">
        <v>2161</v>
      </c>
      <c r="C1561" t="s">
        <v>2162</v>
      </c>
      <c r="D1561">
        <v>11</v>
      </c>
      <c r="E1561" t="s">
        <v>1447</v>
      </c>
      <c r="F1561" t="s">
        <v>2166</v>
      </c>
      <c r="G1561" t="s">
        <v>1811</v>
      </c>
      <c r="H1561" t="s">
        <v>1799</v>
      </c>
      <c r="I1561">
        <v>5</v>
      </c>
      <c r="J1561" t="s">
        <v>1799</v>
      </c>
      <c r="K1561" t="s">
        <v>1799</v>
      </c>
      <c r="L1561" t="s">
        <v>1799</v>
      </c>
      <c r="M1561" t="s">
        <v>1799</v>
      </c>
      <c r="N1561" t="s">
        <v>1799</v>
      </c>
      <c r="O1561" s="184" t="str">
        <f>"["&amp;$C1561&amp;"]["&amp;$D1561&amp;"]["&amp;$F1561&amp;"]"</f>
        <v>[S05_ImprovementReportArt69][11][ImprovementReportSubmitted]</v>
      </c>
    </row>
    <row r="1562" spans="1:15" x14ac:dyDescent="0.3">
      <c r="A1562" t="s">
        <v>1793</v>
      </c>
      <c r="B1562" t="s">
        <v>2161</v>
      </c>
      <c r="C1562" t="s">
        <v>2162</v>
      </c>
      <c r="D1562">
        <v>12</v>
      </c>
      <c r="E1562" t="s">
        <v>1447</v>
      </c>
      <c r="F1562" t="s">
        <v>2166</v>
      </c>
      <c r="G1562" t="s">
        <v>1811</v>
      </c>
      <c r="H1562" t="s">
        <v>1799</v>
      </c>
      <c r="I1562">
        <v>2</v>
      </c>
      <c r="J1562" t="s">
        <v>1799</v>
      </c>
      <c r="K1562" t="s">
        <v>1799</v>
      </c>
      <c r="L1562" t="s">
        <v>1799</v>
      </c>
      <c r="M1562" t="s">
        <v>1799</v>
      </c>
      <c r="N1562" t="s">
        <v>1799</v>
      </c>
      <c r="O1562" s="184" t="str">
        <f>"["&amp;$C1562&amp;"]["&amp;$D1562&amp;"]["&amp;$F1562&amp;"]"</f>
        <v>[S05_ImprovementReportArt69][12][ImprovementReportSubmitted]</v>
      </c>
    </row>
    <row r="1563" spans="1:15" x14ac:dyDescent="0.3">
      <c r="A1563" t="s">
        <v>1793</v>
      </c>
      <c r="B1563" t="s">
        <v>2161</v>
      </c>
      <c r="C1563" t="s">
        <v>2162</v>
      </c>
      <c r="D1563">
        <v>13</v>
      </c>
      <c r="E1563" t="s">
        <v>1447</v>
      </c>
      <c r="F1563" t="s">
        <v>2166</v>
      </c>
      <c r="G1563" t="s">
        <v>1811</v>
      </c>
      <c r="H1563" t="s">
        <v>1799</v>
      </c>
      <c r="I1563">
        <v>2</v>
      </c>
      <c r="J1563" t="s">
        <v>1799</v>
      </c>
      <c r="K1563" t="s">
        <v>1799</v>
      </c>
      <c r="L1563" t="s">
        <v>1799</v>
      </c>
      <c r="M1563" t="s">
        <v>1799</v>
      </c>
      <c r="N1563" t="s">
        <v>1799</v>
      </c>
      <c r="O1563" s="184" t="str">
        <f>"["&amp;$C1563&amp;"]["&amp;$D1563&amp;"]["&amp;$F1563&amp;"]"</f>
        <v>[S05_ImprovementReportArt69][13][ImprovementReportSubmitted]</v>
      </c>
    </row>
    <row r="1564" spans="1:15" x14ac:dyDescent="0.3">
      <c r="A1564" t="s">
        <v>1793</v>
      </c>
      <c r="B1564" t="s">
        <v>2161</v>
      </c>
      <c r="C1564" t="s">
        <v>2162</v>
      </c>
      <c r="D1564">
        <v>14</v>
      </c>
      <c r="E1564" t="s">
        <v>1447</v>
      </c>
      <c r="F1564" t="s">
        <v>2166</v>
      </c>
      <c r="G1564" t="s">
        <v>1811</v>
      </c>
      <c r="H1564" t="s">
        <v>1799</v>
      </c>
      <c r="I1564">
        <v>2</v>
      </c>
      <c r="J1564" t="s">
        <v>1799</v>
      </c>
      <c r="K1564" t="s">
        <v>1799</v>
      </c>
      <c r="L1564" t="s">
        <v>1799</v>
      </c>
      <c r="M1564" t="s">
        <v>1799</v>
      </c>
      <c r="N1564" t="s">
        <v>1799</v>
      </c>
      <c r="O1564" s="184" t="str">
        <f>"["&amp;$C1564&amp;"]["&amp;$D1564&amp;"]["&amp;$F1564&amp;"]"</f>
        <v>[S05_ImprovementReportArt69][14][ImprovementReportSubmitted]</v>
      </c>
    </row>
    <row r="1565" spans="1:15" x14ac:dyDescent="0.3">
      <c r="A1565" t="s">
        <v>1793</v>
      </c>
      <c r="B1565" t="s">
        <v>2161</v>
      </c>
      <c r="C1565" t="s">
        <v>2162</v>
      </c>
      <c r="D1565">
        <v>15</v>
      </c>
      <c r="E1565" t="s">
        <v>1447</v>
      </c>
      <c r="F1565" t="s">
        <v>2166</v>
      </c>
      <c r="G1565" t="s">
        <v>1811</v>
      </c>
      <c r="H1565" t="s">
        <v>1799</v>
      </c>
      <c r="I1565">
        <v>2</v>
      </c>
      <c r="J1565" t="s">
        <v>1799</v>
      </c>
      <c r="K1565" t="s">
        <v>1799</v>
      </c>
      <c r="L1565" t="s">
        <v>1799</v>
      </c>
      <c r="M1565" t="s">
        <v>1799</v>
      </c>
      <c r="N1565" t="s">
        <v>1799</v>
      </c>
      <c r="O1565" s="184" t="str">
        <f>"["&amp;$C1565&amp;"]["&amp;$D1565&amp;"]["&amp;$F1565&amp;"]"</f>
        <v>[S05_ImprovementReportArt69][15][ImprovementReportSubmitted]</v>
      </c>
    </row>
    <row r="1566" spans="1:15" x14ac:dyDescent="0.3">
      <c r="A1566" t="s">
        <v>1793</v>
      </c>
      <c r="B1566" t="s">
        <v>2161</v>
      </c>
      <c r="C1566" t="s">
        <v>2162</v>
      </c>
      <c r="D1566">
        <v>16</v>
      </c>
      <c r="E1566" t="s">
        <v>1447</v>
      </c>
      <c r="F1566" t="s">
        <v>2166</v>
      </c>
      <c r="G1566" t="s">
        <v>1811</v>
      </c>
      <c r="H1566" t="s">
        <v>1799</v>
      </c>
      <c r="I1566">
        <v>10</v>
      </c>
      <c r="J1566" t="s">
        <v>1799</v>
      </c>
      <c r="K1566" t="s">
        <v>1799</v>
      </c>
      <c r="L1566" t="s">
        <v>1799</v>
      </c>
      <c r="M1566" t="s">
        <v>1799</v>
      </c>
      <c r="N1566" t="s">
        <v>1799</v>
      </c>
      <c r="O1566" s="184" t="str">
        <f>"["&amp;$C1566&amp;"]["&amp;$D1566&amp;"]["&amp;$F1566&amp;"]"</f>
        <v>[S05_ImprovementReportArt69][16][ImprovementReportSubmitted]</v>
      </c>
    </row>
    <row r="1567" spans="1:15" x14ac:dyDescent="0.3">
      <c r="A1567" t="s">
        <v>1793</v>
      </c>
      <c r="B1567" t="s">
        <v>2161</v>
      </c>
      <c r="C1567" t="s">
        <v>2162</v>
      </c>
      <c r="D1567">
        <v>17</v>
      </c>
      <c r="E1567" t="s">
        <v>1447</v>
      </c>
      <c r="F1567" t="s">
        <v>2166</v>
      </c>
      <c r="G1567" t="s">
        <v>1811</v>
      </c>
      <c r="H1567" t="s">
        <v>1799</v>
      </c>
      <c r="I1567">
        <v>1</v>
      </c>
      <c r="J1567" t="s">
        <v>1799</v>
      </c>
      <c r="K1567" t="s">
        <v>1799</v>
      </c>
      <c r="L1567" t="s">
        <v>1799</v>
      </c>
      <c r="M1567" t="s">
        <v>1799</v>
      </c>
      <c r="N1567" t="s">
        <v>1799</v>
      </c>
      <c r="O1567" s="184" t="str">
        <f>"["&amp;$C1567&amp;"]["&amp;$D1567&amp;"]["&amp;$F1567&amp;"]"</f>
        <v>[S05_ImprovementReportArt69][17][ImprovementReportSubmitted]</v>
      </c>
    </row>
    <row r="1568" spans="1:15" x14ac:dyDescent="0.3">
      <c r="A1568" t="s">
        <v>1793</v>
      </c>
      <c r="B1568" t="s">
        <v>2161</v>
      </c>
      <c r="C1568" t="s">
        <v>2162</v>
      </c>
      <c r="D1568">
        <v>18</v>
      </c>
      <c r="E1568" t="s">
        <v>1447</v>
      </c>
      <c r="F1568" t="s">
        <v>2166</v>
      </c>
      <c r="G1568" t="s">
        <v>1811</v>
      </c>
      <c r="H1568" t="s">
        <v>1799</v>
      </c>
      <c r="I1568">
        <v>1</v>
      </c>
      <c r="J1568" t="s">
        <v>1799</v>
      </c>
      <c r="K1568" t="s">
        <v>1799</v>
      </c>
      <c r="L1568" t="s">
        <v>1799</v>
      </c>
      <c r="M1568" t="s">
        <v>1799</v>
      </c>
      <c r="N1568" t="s">
        <v>1799</v>
      </c>
      <c r="O1568" s="184" t="str">
        <f>"["&amp;$C1568&amp;"]["&amp;$D1568&amp;"]["&amp;$F1568&amp;"]"</f>
        <v>[S05_ImprovementReportArt69][18][ImprovementReportSubmitted]</v>
      </c>
    </row>
    <row r="1569" spans="1:15" x14ac:dyDescent="0.3">
      <c r="A1569" t="s">
        <v>1793</v>
      </c>
      <c r="B1569" t="s">
        <v>2161</v>
      </c>
      <c r="C1569" t="s">
        <v>2162</v>
      </c>
      <c r="D1569">
        <v>19</v>
      </c>
      <c r="E1569" t="s">
        <v>1447</v>
      </c>
      <c r="F1569" t="s">
        <v>2166</v>
      </c>
      <c r="G1569" t="s">
        <v>1811</v>
      </c>
      <c r="H1569" t="s">
        <v>1799</v>
      </c>
      <c r="I1569">
        <v>1</v>
      </c>
      <c r="J1569" t="s">
        <v>1799</v>
      </c>
      <c r="K1569" t="s">
        <v>1799</v>
      </c>
      <c r="L1569" t="s">
        <v>1799</v>
      </c>
      <c r="M1569" t="s">
        <v>1799</v>
      </c>
      <c r="N1569" t="s">
        <v>1799</v>
      </c>
      <c r="O1569" s="184" t="str">
        <f>"["&amp;$C1569&amp;"]["&amp;$D1569&amp;"]["&amp;$F1569&amp;"]"</f>
        <v>[S05_ImprovementReportArt69][19][ImprovementReportSubmitted]</v>
      </c>
    </row>
    <row r="1570" spans="1:15" x14ac:dyDescent="0.3">
      <c r="A1570" t="s">
        <v>1793</v>
      </c>
      <c r="B1570" t="s">
        <v>2161</v>
      </c>
      <c r="C1570" t="s">
        <v>2162</v>
      </c>
      <c r="D1570">
        <v>20</v>
      </c>
      <c r="E1570" t="s">
        <v>1447</v>
      </c>
      <c r="F1570" t="s">
        <v>2166</v>
      </c>
      <c r="G1570" t="s">
        <v>1811</v>
      </c>
      <c r="H1570" t="s">
        <v>1799</v>
      </c>
      <c r="I1570">
        <v>4</v>
      </c>
      <c r="J1570" t="s">
        <v>1799</v>
      </c>
      <c r="K1570" t="s">
        <v>1799</v>
      </c>
      <c r="L1570" t="s">
        <v>1799</v>
      </c>
      <c r="M1570" t="s">
        <v>1799</v>
      </c>
      <c r="N1570" t="s">
        <v>1799</v>
      </c>
      <c r="O1570" s="184" t="str">
        <f>"["&amp;$C1570&amp;"]["&amp;$D1570&amp;"]["&amp;$F1570&amp;"]"</f>
        <v>[S05_ImprovementReportArt69][20][ImprovementReportSubmitted]</v>
      </c>
    </row>
    <row r="1571" spans="1:15" x14ac:dyDescent="0.3">
      <c r="A1571" t="s">
        <v>1793</v>
      </c>
      <c r="B1571" t="s">
        <v>2161</v>
      </c>
      <c r="C1571" t="s">
        <v>2162</v>
      </c>
      <c r="D1571">
        <v>21</v>
      </c>
      <c r="E1571" t="s">
        <v>1447</v>
      </c>
      <c r="F1571" t="s">
        <v>2166</v>
      </c>
      <c r="G1571" t="s">
        <v>1811</v>
      </c>
      <c r="H1571" t="s">
        <v>1799</v>
      </c>
      <c r="I1571">
        <v>6</v>
      </c>
      <c r="J1571" t="s">
        <v>1799</v>
      </c>
      <c r="K1571" t="s">
        <v>1799</v>
      </c>
      <c r="L1571" t="s">
        <v>1799</v>
      </c>
      <c r="M1571" t="s">
        <v>1799</v>
      </c>
      <c r="N1571" t="s">
        <v>1799</v>
      </c>
      <c r="O1571" s="184" t="str">
        <f>"["&amp;$C1571&amp;"]["&amp;$D1571&amp;"]["&amp;$F1571&amp;"]"</f>
        <v>[S05_ImprovementReportArt69][21][ImprovementReportSubmitted]</v>
      </c>
    </row>
    <row r="1572" spans="1:15" x14ac:dyDescent="0.3">
      <c r="A1572" t="s">
        <v>1793</v>
      </c>
      <c r="B1572" t="s">
        <v>2161</v>
      </c>
      <c r="C1572" t="s">
        <v>2162</v>
      </c>
      <c r="D1572">
        <v>22</v>
      </c>
      <c r="E1572" t="s">
        <v>1447</v>
      </c>
      <c r="F1572" t="s">
        <v>2166</v>
      </c>
      <c r="G1572" t="s">
        <v>1811</v>
      </c>
      <c r="H1572" t="s">
        <v>1799</v>
      </c>
      <c r="I1572">
        <v>2</v>
      </c>
      <c r="J1572" t="s">
        <v>1799</v>
      </c>
      <c r="K1572" t="s">
        <v>1799</v>
      </c>
      <c r="L1572" t="s">
        <v>1799</v>
      </c>
      <c r="M1572" t="s">
        <v>1799</v>
      </c>
      <c r="N1572" t="s">
        <v>1799</v>
      </c>
      <c r="O1572" s="184" t="str">
        <f>"["&amp;$C1572&amp;"]["&amp;$D1572&amp;"]["&amp;$F1572&amp;"]"</f>
        <v>[S05_ImprovementReportArt69][22][ImprovementReportSubmitted]</v>
      </c>
    </row>
    <row r="1573" spans="1:15" x14ac:dyDescent="0.3">
      <c r="A1573" t="s">
        <v>1793</v>
      </c>
      <c r="B1573" t="s">
        <v>2161</v>
      </c>
      <c r="C1573" t="s">
        <v>2162</v>
      </c>
      <c r="D1573">
        <v>23</v>
      </c>
      <c r="E1573" t="s">
        <v>1447</v>
      </c>
      <c r="F1573" t="s">
        <v>2166</v>
      </c>
      <c r="G1573" t="s">
        <v>1811</v>
      </c>
      <c r="H1573" t="s">
        <v>1799</v>
      </c>
      <c r="I1573">
        <v>2</v>
      </c>
      <c r="J1573" t="s">
        <v>1799</v>
      </c>
      <c r="K1573" t="s">
        <v>1799</v>
      </c>
      <c r="L1573" t="s">
        <v>1799</v>
      </c>
      <c r="M1573" t="s">
        <v>1799</v>
      </c>
      <c r="N1573" t="s">
        <v>1799</v>
      </c>
      <c r="O1573" s="184" t="str">
        <f>"["&amp;$C1573&amp;"]["&amp;$D1573&amp;"]["&amp;$F1573&amp;"]"</f>
        <v>[S05_ImprovementReportArt69][23][ImprovementReportSubmitted]</v>
      </c>
    </row>
    <row r="1574" spans="1:15" x14ac:dyDescent="0.3">
      <c r="A1574" t="s">
        <v>1793</v>
      </c>
      <c r="B1574" t="s">
        <v>2161</v>
      </c>
      <c r="C1574" t="s">
        <v>2162</v>
      </c>
      <c r="D1574">
        <v>24</v>
      </c>
      <c r="E1574" t="s">
        <v>1447</v>
      </c>
      <c r="F1574" t="s">
        <v>2166</v>
      </c>
      <c r="G1574" t="s">
        <v>1811</v>
      </c>
      <c r="H1574" t="s">
        <v>1799</v>
      </c>
      <c r="I1574">
        <v>1</v>
      </c>
      <c r="J1574" t="s">
        <v>1799</v>
      </c>
      <c r="K1574" t="s">
        <v>1799</v>
      </c>
      <c r="L1574" t="s">
        <v>1799</v>
      </c>
      <c r="M1574" t="s">
        <v>1799</v>
      </c>
      <c r="N1574" t="s">
        <v>1799</v>
      </c>
      <c r="O1574" s="184" t="str">
        <f>"["&amp;$C1574&amp;"]["&amp;$D1574&amp;"]["&amp;$F1574&amp;"]"</f>
        <v>[S05_ImprovementReportArt69][24][ImprovementReportSubmitted]</v>
      </c>
    </row>
    <row r="1575" spans="1:15" x14ac:dyDescent="0.3">
      <c r="A1575" t="s">
        <v>1793</v>
      </c>
      <c r="B1575" t="s">
        <v>2161</v>
      </c>
      <c r="C1575" t="s">
        <v>2162</v>
      </c>
      <c r="D1575">
        <v>25</v>
      </c>
      <c r="E1575" t="s">
        <v>1447</v>
      </c>
      <c r="F1575" t="s">
        <v>2166</v>
      </c>
      <c r="G1575" t="s">
        <v>1811</v>
      </c>
      <c r="H1575" t="s">
        <v>1799</v>
      </c>
      <c r="I1575">
        <v>2</v>
      </c>
      <c r="J1575" t="s">
        <v>1799</v>
      </c>
      <c r="K1575" t="s">
        <v>1799</v>
      </c>
      <c r="L1575" t="s">
        <v>1799</v>
      </c>
      <c r="M1575" t="s">
        <v>1799</v>
      </c>
      <c r="N1575" t="s">
        <v>1799</v>
      </c>
      <c r="O1575" s="184" t="str">
        <f>"["&amp;$C1575&amp;"]["&amp;$D1575&amp;"]["&amp;$F1575&amp;"]"</f>
        <v>[S05_ImprovementReportArt69][25][ImprovementReportSubmitted]</v>
      </c>
    </row>
    <row r="1576" spans="1:15" x14ac:dyDescent="0.3">
      <c r="A1576" t="s">
        <v>1793</v>
      </c>
      <c r="B1576" t="s">
        <v>2161</v>
      </c>
      <c r="C1576" t="s">
        <v>2162</v>
      </c>
      <c r="D1576">
        <v>26</v>
      </c>
      <c r="E1576" t="s">
        <v>1447</v>
      </c>
      <c r="F1576" t="s">
        <v>2166</v>
      </c>
      <c r="G1576" t="s">
        <v>1811</v>
      </c>
      <c r="H1576" t="s">
        <v>1799</v>
      </c>
      <c r="I1576">
        <v>1</v>
      </c>
      <c r="J1576" t="s">
        <v>1799</v>
      </c>
      <c r="K1576" t="s">
        <v>1799</v>
      </c>
      <c r="L1576" t="s">
        <v>1799</v>
      </c>
      <c r="M1576" t="s">
        <v>1799</v>
      </c>
      <c r="N1576" t="s">
        <v>1799</v>
      </c>
      <c r="O1576" s="184" t="str">
        <f>"["&amp;$C1576&amp;"]["&amp;$D1576&amp;"]["&amp;$F1576&amp;"]"</f>
        <v>[S05_ImprovementReportArt69][26][ImprovementReportSubmitted]</v>
      </c>
    </row>
    <row r="1577" spans="1:15" x14ac:dyDescent="0.3">
      <c r="A1577" t="s">
        <v>1793</v>
      </c>
      <c r="B1577" t="s">
        <v>2161</v>
      </c>
      <c r="C1577" t="s">
        <v>2162</v>
      </c>
      <c r="D1577">
        <v>27</v>
      </c>
      <c r="E1577" t="s">
        <v>1447</v>
      </c>
      <c r="F1577" t="s">
        <v>2166</v>
      </c>
      <c r="G1577" t="s">
        <v>1811</v>
      </c>
      <c r="H1577" t="s">
        <v>1799</v>
      </c>
      <c r="I1577">
        <v>2</v>
      </c>
      <c r="J1577" t="s">
        <v>1799</v>
      </c>
      <c r="K1577" t="s">
        <v>1799</v>
      </c>
      <c r="L1577" t="s">
        <v>1799</v>
      </c>
      <c r="M1577" t="s">
        <v>1799</v>
      </c>
      <c r="N1577" t="s">
        <v>1799</v>
      </c>
      <c r="O1577" s="184" t="str">
        <f>"["&amp;$C1577&amp;"]["&amp;$D1577&amp;"]["&amp;$F1577&amp;"]"</f>
        <v>[S05_ImprovementReportArt69][27][ImprovementReportSubmitted]</v>
      </c>
    </row>
    <row r="1578" spans="1:15" x14ac:dyDescent="0.3">
      <c r="A1578" t="s">
        <v>1793</v>
      </c>
      <c r="B1578" t="s">
        <v>2167</v>
      </c>
      <c r="C1578" t="s">
        <v>2168</v>
      </c>
      <c r="D1578">
        <v>0</v>
      </c>
      <c r="E1578" t="s">
        <v>1447</v>
      </c>
      <c r="F1578" t="s">
        <v>2168</v>
      </c>
      <c r="G1578" t="s">
        <v>1826</v>
      </c>
      <c r="H1578" t="s">
        <v>1799</v>
      </c>
      <c r="I1578" t="s">
        <v>1799</v>
      </c>
      <c r="J1578" t="s">
        <v>1799</v>
      </c>
      <c r="K1578" t="s">
        <v>1799</v>
      </c>
      <c r="L1578" t="s">
        <v>1419</v>
      </c>
      <c r="M1578" t="s">
        <v>1799</v>
      </c>
      <c r="N1578" t="s">
        <v>1799</v>
      </c>
      <c r="O1578" s="184" t="str">
        <f>"["&amp;$C1578&amp;"]["&amp;$D1578&amp;"]["&amp;$F1578&amp;"]"</f>
        <v>[InherentCarbonTransferred][0][InherentCarbonTransferred]</v>
      </c>
    </row>
    <row r="1579" spans="1:15" x14ac:dyDescent="0.3">
      <c r="A1579" t="s">
        <v>1793</v>
      </c>
      <c r="B1579" t="s">
        <v>2167</v>
      </c>
      <c r="C1579" t="s">
        <v>2169</v>
      </c>
      <c r="D1579">
        <v>1</v>
      </c>
      <c r="E1579" t="s">
        <v>1447</v>
      </c>
      <c r="F1579" t="s">
        <v>2170</v>
      </c>
      <c r="G1579" t="s">
        <v>1737</v>
      </c>
      <c r="H1579" t="s">
        <v>1799</v>
      </c>
      <c r="I1579" t="s">
        <v>1799</v>
      </c>
      <c r="J1579" t="s">
        <v>1799</v>
      </c>
      <c r="K1579" t="s">
        <v>1799</v>
      </c>
      <c r="L1579" t="s">
        <v>1489</v>
      </c>
      <c r="M1579" t="s">
        <v>1799</v>
      </c>
      <c r="N1579" t="s">
        <v>1799</v>
      </c>
      <c r="O1579" s="184" t="str">
        <f>"["&amp;$C1579&amp;"]["&amp;$D1579&amp;"]["&amp;$F1579&amp;"]"</f>
        <v>[S05_InherentCarbonTransferredDetail][1][TransferType]</v>
      </c>
    </row>
    <row r="1580" spans="1:15" x14ac:dyDescent="0.3">
      <c r="A1580" t="s">
        <v>1793</v>
      </c>
      <c r="B1580" t="s">
        <v>2167</v>
      </c>
      <c r="C1580" t="s">
        <v>2169</v>
      </c>
      <c r="D1580">
        <v>2</v>
      </c>
      <c r="E1580" t="s">
        <v>1447</v>
      </c>
      <c r="F1580" t="s">
        <v>2170</v>
      </c>
      <c r="G1580" t="s">
        <v>1737</v>
      </c>
      <c r="H1580" t="s">
        <v>1799</v>
      </c>
      <c r="I1580" t="s">
        <v>1799</v>
      </c>
      <c r="J1580" t="s">
        <v>1799</v>
      </c>
      <c r="K1580" t="s">
        <v>1799</v>
      </c>
      <c r="L1580" t="s">
        <v>1489</v>
      </c>
      <c r="M1580" t="s">
        <v>1799</v>
      </c>
      <c r="N1580" t="s">
        <v>1799</v>
      </c>
      <c r="O1580" s="184" t="str">
        <f>"["&amp;$C1580&amp;"]["&amp;$D1580&amp;"]["&amp;$F1580&amp;"]"</f>
        <v>[S05_InherentCarbonTransferredDetail][2][TransferType]</v>
      </c>
    </row>
    <row r="1581" spans="1:15" x14ac:dyDescent="0.3">
      <c r="A1581" t="s">
        <v>1793</v>
      </c>
      <c r="B1581" t="s">
        <v>2167</v>
      </c>
      <c r="C1581" t="s">
        <v>2169</v>
      </c>
      <c r="D1581">
        <v>3</v>
      </c>
      <c r="E1581" t="s">
        <v>1447</v>
      </c>
      <c r="F1581" t="s">
        <v>2170</v>
      </c>
      <c r="G1581" t="s">
        <v>1737</v>
      </c>
      <c r="H1581" t="s">
        <v>1799</v>
      </c>
      <c r="I1581" t="s">
        <v>1799</v>
      </c>
      <c r="J1581" t="s">
        <v>1799</v>
      </c>
      <c r="K1581" t="s">
        <v>1799</v>
      </c>
      <c r="L1581" t="s">
        <v>1489</v>
      </c>
      <c r="M1581" t="s">
        <v>1799</v>
      </c>
      <c r="N1581" t="s">
        <v>1799</v>
      </c>
      <c r="O1581" s="184" t="str">
        <f>"["&amp;$C1581&amp;"]["&amp;$D1581&amp;"]["&amp;$F1581&amp;"]"</f>
        <v>[S05_InherentCarbonTransferredDetail][3][TransferType]</v>
      </c>
    </row>
    <row r="1582" spans="1:15" x14ac:dyDescent="0.3">
      <c r="A1582" t="s">
        <v>1793</v>
      </c>
      <c r="B1582" t="s">
        <v>2167</v>
      </c>
      <c r="C1582" t="s">
        <v>2169</v>
      </c>
      <c r="D1582">
        <v>4</v>
      </c>
      <c r="E1582" t="s">
        <v>1447</v>
      </c>
      <c r="F1582" t="s">
        <v>2170</v>
      </c>
      <c r="G1582" t="s">
        <v>1737</v>
      </c>
      <c r="H1582" t="s">
        <v>1799</v>
      </c>
      <c r="I1582" t="s">
        <v>1799</v>
      </c>
      <c r="J1582" t="s">
        <v>1799</v>
      </c>
      <c r="K1582" t="s">
        <v>1799</v>
      </c>
      <c r="L1582" t="s">
        <v>1489</v>
      </c>
      <c r="M1582" t="s">
        <v>1799</v>
      </c>
      <c r="N1582" t="s">
        <v>1799</v>
      </c>
      <c r="O1582" s="184" t="str">
        <f>"["&amp;$C1582&amp;"]["&amp;$D1582&amp;"]["&amp;$F1582&amp;"]"</f>
        <v>[S05_InherentCarbonTransferredDetail][4][TransferType]</v>
      </c>
    </row>
    <row r="1583" spans="1:15" x14ac:dyDescent="0.3">
      <c r="A1583" t="s">
        <v>1793</v>
      </c>
      <c r="B1583" t="s">
        <v>2167</v>
      </c>
      <c r="C1583" t="s">
        <v>2169</v>
      </c>
      <c r="D1583">
        <v>5</v>
      </c>
      <c r="E1583" t="s">
        <v>1447</v>
      </c>
      <c r="F1583" t="s">
        <v>2170</v>
      </c>
      <c r="G1583" t="s">
        <v>1737</v>
      </c>
      <c r="H1583" t="s">
        <v>1799</v>
      </c>
      <c r="I1583" t="s">
        <v>1799</v>
      </c>
      <c r="J1583" t="s">
        <v>1799</v>
      </c>
      <c r="K1583" t="s">
        <v>1799</v>
      </c>
      <c r="L1583" t="s">
        <v>1509</v>
      </c>
      <c r="M1583" t="s">
        <v>1799</v>
      </c>
      <c r="N1583" t="s">
        <v>1799</v>
      </c>
      <c r="O1583" s="184" t="str">
        <f>"["&amp;$C1583&amp;"]["&amp;$D1583&amp;"]["&amp;$F1583&amp;"]"</f>
        <v>[S05_InherentCarbonTransferredDetail][5][TransferType]</v>
      </c>
    </row>
    <row r="1584" spans="1:15" x14ac:dyDescent="0.3">
      <c r="A1584" t="s">
        <v>1793</v>
      </c>
      <c r="B1584" t="s">
        <v>2167</v>
      </c>
      <c r="C1584" t="s">
        <v>2169</v>
      </c>
      <c r="D1584">
        <v>6</v>
      </c>
      <c r="E1584" t="s">
        <v>1447</v>
      </c>
      <c r="F1584" t="s">
        <v>2170</v>
      </c>
      <c r="G1584" t="s">
        <v>1737</v>
      </c>
      <c r="H1584" t="s">
        <v>1799</v>
      </c>
      <c r="I1584" t="s">
        <v>1799</v>
      </c>
      <c r="J1584" t="s">
        <v>1799</v>
      </c>
      <c r="K1584" t="s">
        <v>1799</v>
      </c>
      <c r="L1584" t="s">
        <v>1509</v>
      </c>
      <c r="M1584" t="s">
        <v>1799</v>
      </c>
      <c r="N1584" t="s">
        <v>1799</v>
      </c>
      <c r="O1584" s="184" t="str">
        <f>"["&amp;$C1584&amp;"]["&amp;$D1584&amp;"]["&amp;$F1584&amp;"]"</f>
        <v>[S05_InherentCarbonTransferredDetail][6][TransferType]</v>
      </c>
    </row>
    <row r="1585" spans="1:15" x14ac:dyDescent="0.3">
      <c r="A1585" t="s">
        <v>1793</v>
      </c>
      <c r="B1585" t="s">
        <v>2167</v>
      </c>
      <c r="C1585" t="s">
        <v>2169</v>
      </c>
      <c r="D1585">
        <v>7</v>
      </c>
      <c r="E1585" t="s">
        <v>1447</v>
      </c>
      <c r="F1585" t="s">
        <v>2170</v>
      </c>
      <c r="G1585" t="s">
        <v>1737</v>
      </c>
      <c r="H1585" t="s">
        <v>1799</v>
      </c>
      <c r="I1585" t="s">
        <v>1799</v>
      </c>
      <c r="J1585" t="s">
        <v>1799</v>
      </c>
      <c r="K1585" t="s">
        <v>1799</v>
      </c>
      <c r="L1585" t="s">
        <v>1434</v>
      </c>
      <c r="M1585" t="s">
        <v>1799</v>
      </c>
      <c r="N1585" t="s">
        <v>1799</v>
      </c>
      <c r="O1585" s="184" t="str">
        <f>"["&amp;$C1585&amp;"]["&amp;$D1585&amp;"]["&amp;$F1585&amp;"]"</f>
        <v>[S05_InherentCarbonTransferredDetail][7][TransferType]</v>
      </c>
    </row>
    <row r="1586" spans="1:15" x14ac:dyDescent="0.3">
      <c r="A1586" t="s">
        <v>1793</v>
      </c>
      <c r="B1586" t="s">
        <v>2167</v>
      </c>
      <c r="C1586" t="s">
        <v>2169</v>
      </c>
      <c r="D1586">
        <v>8</v>
      </c>
      <c r="E1586" t="s">
        <v>1447</v>
      </c>
      <c r="F1586" t="s">
        <v>2170</v>
      </c>
      <c r="G1586" t="s">
        <v>1737</v>
      </c>
      <c r="H1586" t="s">
        <v>1799</v>
      </c>
      <c r="I1586" t="s">
        <v>1799</v>
      </c>
      <c r="J1586" t="s">
        <v>1799</v>
      </c>
      <c r="K1586" t="s">
        <v>1799</v>
      </c>
      <c r="L1586" t="s">
        <v>1434</v>
      </c>
      <c r="M1586" t="s">
        <v>1799</v>
      </c>
      <c r="N1586" t="s">
        <v>1799</v>
      </c>
      <c r="O1586" s="184" t="str">
        <f>"["&amp;$C1586&amp;"]["&amp;$D1586&amp;"]["&amp;$F1586&amp;"]"</f>
        <v>[S05_InherentCarbonTransferredDetail][8][TransferType]</v>
      </c>
    </row>
    <row r="1587" spans="1:15" x14ac:dyDescent="0.3">
      <c r="A1587" t="s">
        <v>1793</v>
      </c>
      <c r="B1587" t="s">
        <v>2167</v>
      </c>
      <c r="C1587" t="s">
        <v>2169</v>
      </c>
      <c r="D1587">
        <v>9</v>
      </c>
      <c r="E1587" t="s">
        <v>1447</v>
      </c>
      <c r="F1587" t="s">
        <v>2170</v>
      </c>
      <c r="G1587" t="s">
        <v>1737</v>
      </c>
      <c r="H1587" t="s">
        <v>1799</v>
      </c>
      <c r="I1587" t="s">
        <v>1799</v>
      </c>
      <c r="J1587" t="s">
        <v>1799</v>
      </c>
      <c r="K1587" t="s">
        <v>1799</v>
      </c>
      <c r="L1587" t="s">
        <v>1434</v>
      </c>
      <c r="M1587" t="s">
        <v>1799</v>
      </c>
      <c r="N1587" t="s">
        <v>1799</v>
      </c>
      <c r="O1587" s="184" t="str">
        <f>"["&amp;$C1587&amp;"]["&amp;$D1587&amp;"]["&amp;$F1587&amp;"]"</f>
        <v>[S05_InherentCarbonTransferredDetail][9][TransferType]</v>
      </c>
    </row>
    <row r="1588" spans="1:15" x14ac:dyDescent="0.3">
      <c r="A1588" t="s">
        <v>1793</v>
      </c>
      <c r="B1588" t="s">
        <v>2167</v>
      </c>
      <c r="C1588" t="s">
        <v>2169</v>
      </c>
      <c r="D1588">
        <v>10</v>
      </c>
      <c r="E1588" t="s">
        <v>1447</v>
      </c>
      <c r="F1588" t="s">
        <v>2170</v>
      </c>
      <c r="G1588" t="s">
        <v>1737</v>
      </c>
      <c r="H1588" t="s">
        <v>1799</v>
      </c>
      <c r="I1588" t="s">
        <v>1799</v>
      </c>
      <c r="J1588" t="s">
        <v>1799</v>
      </c>
      <c r="K1588" t="s">
        <v>1799</v>
      </c>
      <c r="L1588" t="s">
        <v>1434</v>
      </c>
      <c r="M1588" t="s">
        <v>1799</v>
      </c>
      <c r="N1588" t="s">
        <v>1799</v>
      </c>
      <c r="O1588" s="184" t="str">
        <f>"["&amp;$C1588&amp;"]["&amp;$D1588&amp;"]["&amp;$F1588&amp;"]"</f>
        <v>[S05_InherentCarbonTransferredDetail][10][TransferType]</v>
      </c>
    </row>
    <row r="1589" spans="1:15" x14ac:dyDescent="0.3">
      <c r="A1589" t="s">
        <v>1793</v>
      </c>
      <c r="B1589" t="s">
        <v>2167</v>
      </c>
      <c r="C1589" t="s">
        <v>2169</v>
      </c>
      <c r="D1589">
        <v>11</v>
      </c>
      <c r="E1589" t="s">
        <v>1447</v>
      </c>
      <c r="F1589" t="s">
        <v>2170</v>
      </c>
      <c r="G1589" t="s">
        <v>1737</v>
      </c>
      <c r="H1589" t="s">
        <v>1799</v>
      </c>
      <c r="I1589" t="s">
        <v>1799</v>
      </c>
      <c r="J1589" t="s">
        <v>1799</v>
      </c>
      <c r="K1589" t="s">
        <v>1799</v>
      </c>
      <c r="L1589" t="s">
        <v>1434</v>
      </c>
      <c r="M1589" t="s">
        <v>1799</v>
      </c>
      <c r="N1589" t="s">
        <v>1799</v>
      </c>
      <c r="O1589" s="184" t="str">
        <f>"["&amp;$C1589&amp;"]["&amp;$D1589&amp;"]["&amp;$F1589&amp;"]"</f>
        <v>[S05_InherentCarbonTransferredDetail][11][TransferType]</v>
      </c>
    </row>
    <row r="1590" spans="1:15" x14ac:dyDescent="0.3">
      <c r="A1590" t="s">
        <v>1793</v>
      </c>
      <c r="B1590" t="s">
        <v>2167</v>
      </c>
      <c r="C1590" t="s">
        <v>2169</v>
      </c>
      <c r="D1590">
        <v>12</v>
      </c>
      <c r="E1590" t="s">
        <v>1447</v>
      </c>
      <c r="F1590" t="s">
        <v>2170</v>
      </c>
      <c r="G1590" t="s">
        <v>1737</v>
      </c>
      <c r="H1590" t="s">
        <v>1799</v>
      </c>
      <c r="I1590" t="s">
        <v>1799</v>
      </c>
      <c r="J1590" t="s">
        <v>1799</v>
      </c>
      <c r="K1590" t="s">
        <v>1799</v>
      </c>
      <c r="L1590" t="s">
        <v>1434</v>
      </c>
      <c r="M1590" t="s">
        <v>1799</v>
      </c>
      <c r="N1590" t="s">
        <v>1799</v>
      </c>
      <c r="O1590" s="184" t="str">
        <f>"["&amp;$C1590&amp;"]["&amp;$D1590&amp;"]["&amp;$F1590&amp;"]"</f>
        <v>[S05_InherentCarbonTransferredDetail][12][TransferType]</v>
      </c>
    </row>
    <row r="1591" spans="1:15" x14ac:dyDescent="0.3">
      <c r="A1591" t="s">
        <v>1793</v>
      </c>
      <c r="B1591" t="s">
        <v>2167</v>
      </c>
      <c r="C1591" t="s">
        <v>2169</v>
      </c>
      <c r="D1591">
        <v>13</v>
      </c>
      <c r="E1591" t="s">
        <v>1447</v>
      </c>
      <c r="F1591" t="s">
        <v>2170</v>
      </c>
      <c r="G1591" t="s">
        <v>1737</v>
      </c>
      <c r="H1591" t="s">
        <v>1799</v>
      </c>
      <c r="I1591" t="s">
        <v>1799</v>
      </c>
      <c r="J1591" t="s">
        <v>1799</v>
      </c>
      <c r="K1591" t="s">
        <v>1799</v>
      </c>
      <c r="L1591" t="s">
        <v>1434</v>
      </c>
      <c r="M1591" t="s">
        <v>1799</v>
      </c>
      <c r="N1591" t="s">
        <v>1799</v>
      </c>
      <c r="O1591" s="184" t="str">
        <f>"["&amp;$C1591&amp;"]["&amp;$D1591&amp;"]["&amp;$F1591&amp;"]"</f>
        <v>[S05_InherentCarbonTransferredDetail][13][TransferType]</v>
      </c>
    </row>
    <row r="1592" spans="1:15" x14ac:dyDescent="0.3">
      <c r="A1592" t="s">
        <v>1793</v>
      </c>
      <c r="B1592" t="s">
        <v>2167</v>
      </c>
      <c r="C1592" t="s">
        <v>2169</v>
      </c>
      <c r="D1592">
        <v>14</v>
      </c>
      <c r="E1592" t="s">
        <v>1447</v>
      </c>
      <c r="F1592" t="s">
        <v>2170</v>
      </c>
      <c r="G1592" t="s">
        <v>1737</v>
      </c>
      <c r="H1592" t="s">
        <v>1799</v>
      </c>
      <c r="I1592" t="s">
        <v>1799</v>
      </c>
      <c r="J1592" t="s">
        <v>1799</v>
      </c>
      <c r="K1592" t="s">
        <v>1799</v>
      </c>
      <c r="L1592" t="s">
        <v>1434</v>
      </c>
      <c r="M1592" t="s">
        <v>1799</v>
      </c>
      <c r="N1592" t="s">
        <v>1799</v>
      </c>
      <c r="O1592" s="184" t="str">
        <f>"["&amp;$C1592&amp;"]["&amp;$D1592&amp;"]["&amp;$F1592&amp;"]"</f>
        <v>[S05_InherentCarbonTransferredDetail][14][TransferType]</v>
      </c>
    </row>
    <row r="1593" spans="1:15" x14ac:dyDescent="0.3">
      <c r="A1593" t="s">
        <v>1793</v>
      </c>
      <c r="B1593" t="s">
        <v>2167</v>
      </c>
      <c r="C1593" t="s">
        <v>2169</v>
      </c>
      <c r="D1593">
        <v>15</v>
      </c>
      <c r="E1593" t="s">
        <v>1447</v>
      </c>
      <c r="F1593" t="s">
        <v>2170</v>
      </c>
      <c r="G1593" t="s">
        <v>1737</v>
      </c>
      <c r="H1593" t="s">
        <v>1799</v>
      </c>
      <c r="I1593" t="s">
        <v>1799</v>
      </c>
      <c r="J1593" t="s">
        <v>1799</v>
      </c>
      <c r="K1593" t="s">
        <v>1799</v>
      </c>
      <c r="L1593" t="s">
        <v>1434</v>
      </c>
      <c r="M1593" t="s">
        <v>1799</v>
      </c>
      <c r="N1593" t="s">
        <v>1799</v>
      </c>
      <c r="O1593" s="184" t="str">
        <f>"["&amp;$C1593&amp;"]["&amp;$D1593&amp;"]["&amp;$F1593&amp;"]"</f>
        <v>[S05_InherentCarbonTransferredDetail][15][TransferType]</v>
      </c>
    </row>
    <row r="1594" spans="1:15" x14ac:dyDescent="0.3">
      <c r="A1594" t="s">
        <v>1793</v>
      </c>
      <c r="B1594" t="s">
        <v>2167</v>
      </c>
      <c r="C1594" t="s">
        <v>2169</v>
      </c>
      <c r="D1594">
        <v>16</v>
      </c>
      <c r="E1594" t="s">
        <v>1447</v>
      </c>
      <c r="F1594" t="s">
        <v>2170</v>
      </c>
      <c r="G1594" t="s">
        <v>1737</v>
      </c>
      <c r="H1594" t="s">
        <v>1799</v>
      </c>
      <c r="I1594" t="s">
        <v>1799</v>
      </c>
      <c r="J1594" t="s">
        <v>1799</v>
      </c>
      <c r="K1594" t="s">
        <v>1799</v>
      </c>
      <c r="L1594" t="s">
        <v>1434</v>
      </c>
      <c r="M1594" t="s">
        <v>1799</v>
      </c>
      <c r="N1594" t="s">
        <v>1799</v>
      </c>
      <c r="O1594" s="184" t="str">
        <f>"["&amp;$C1594&amp;"]["&amp;$D1594&amp;"]["&amp;$F1594&amp;"]"</f>
        <v>[S05_InherentCarbonTransferredDetail][16][TransferType]</v>
      </c>
    </row>
    <row r="1595" spans="1:15" x14ac:dyDescent="0.3">
      <c r="A1595" t="s">
        <v>1793</v>
      </c>
      <c r="B1595" t="s">
        <v>2167</v>
      </c>
      <c r="C1595" t="s">
        <v>2169</v>
      </c>
      <c r="D1595">
        <v>17</v>
      </c>
      <c r="E1595" t="s">
        <v>1447</v>
      </c>
      <c r="F1595" t="s">
        <v>2170</v>
      </c>
      <c r="G1595" t="s">
        <v>1737</v>
      </c>
      <c r="H1595" t="s">
        <v>1799</v>
      </c>
      <c r="I1595" t="s">
        <v>1799</v>
      </c>
      <c r="J1595" t="s">
        <v>1799</v>
      </c>
      <c r="K1595" t="s">
        <v>1799</v>
      </c>
      <c r="L1595" t="s">
        <v>1434</v>
      </c>
      <c r="M1595" t="s">
        <v>1799</v>
      </c>
      <c r="N1595" t="s">
        <v>1799</v>
      </c>
      <c r="O1595" s="184" t="str">
        <f>"["&amp;$C1595&amp;"]["&amp;$D1595&amp;"]["&amp;$F1595&amp;"]"</f>
        <v>[S05_InherentCarbonTransferredDetail][17][TransferType]</v>
      </c>
    </row>
    <row r="1596" spans="1:15" x14ac:dyDescent="0.3">
      <c r="A1596" t="s">
        <v>1793</v>
      </c>
      <c r="B1596" t="s">
        <v>2167</v>
      </c>
      <c r="C1596" t="s">
        <v>2169</v>
      </c>
      <c r="D1596">
        <v>18</v>
      </c>
      <c r="E1596" t="s">
        <v>1447</v>
      </c>
      <c r="F1596" t="s">
        <v>2170</v>
      </c>
      <c r="G1596" t="s">
        <v>1737</v>
      </c>
      <c r="H1596" t="s">
        <v>1799</v>
      </c>
      <c r="I1596" t="s">
        <v>1799</v>
      </c>
      <c r="J1596" t="s">
        <v>1799</v>
      </c>
      <c r="K1596" t="s">
        <v>1799</v>
      </c>
      <c r="L1596" t="s">
        <v>1434</v>
      </c>
      <c r="M1596" t="s">
        <v>1799</v>
      </c>
      <c r="N1596" t="s">
        <v>1799</v>
      </c>
      <c r="O1596" s="184" t="str">
        <f>"["&amp;$C1596&amp;"]["&amp;$D1596&amp;"]["&amp;$F1596&amp;"]"</f>
        <v>[S05_InherentCarbonTransferredDetail][18][TransferType]</v>
      </c>
    </row>
    <row r="1597" spans="1:15" x14ac:dyDescent="0.3">
      <c r="A1597" t="s">
        <v>1793</v>
      </c>
      <c r="B1597" t="s">
        <v>2167</v>
      </c>
      <c r="C1597" t="s">
        <v>2169</v>
      </c>
      <c r="D1597">
        <v>19</v>
      </c>
      <c r="E1597" t="s">
        <v>1447</v>
      </c>
      <c r="F1597" t="s">
        <v>2170</v>
      </c>
      <c r="G1597" t="s">
        <v>1737</v>
      </c>
      <c r="H1597" t="s">
        <v>1799</v>
      </c>
      <c r="I1597" t="s">
        <v>1799</v>
      </c>
      <c r="J1597" t="s">
        <v>1799</v>
      </c>
      <c r="K1597" t="s">
        <v>1799</v>
      </c>
      <c r="L1597" t="s">
        <v>1434</v>
      </c>
      <c r="M1597" t="s">
        <v>1799</v>
      </c>
      <c r="N1597" t="s">
        <v>1799</v>
      </c>
      <c r="O1597" s="184" t="str">
        <f>"["&amp;$C1597&amp;"]["&amp;$D1597&amp;"]["&amp;$F1597&amp;"]"</f>
        <v>[S05_InherentCarbonTransferredDetail][19][TransferType]</v>
      </c>
    </row>
    <row r="1598" spans="1:15" x14ac:dyDescent="0.3">
      <c r="A1598" t="s">
        <v>1793</v>
      </c>
      <c r="B1598" t="s">
        <v>2167</v>
      </c>
      <c r="C1598" t="s">
        <v>2169</v>
      </c>
      <c r="D1598">
        <v>20</v>
      </c>
      <c r="E1598" t="s">
        <v>1447</v>
      </c>
      <c r="F1598" t="s">
        <v>2170</v>
      </c>
      <c r="G1598" t="s">
        <v>1737</v>
      </c>
      <c r="H1598" t="s">
        <v>1799</v>
      </c>
      <c r="I1598" t="s">
        <v>1799</v>
      </c>
      <c r="J1598" t="s">
        <v>1799</v>
      </c>
      <c r="K1598" t="s">
        <v>1799</v>
      </c>
      <c r="L1598" t="s">
        <v>1434</v>
      </c>
      <c r="M1598" t="s">
        <v>1799</v>
      </c>
      <c r="N1598" t="s">
        <v>1799</v>
      </c>
      <c r="O1598" s="184" t="str">
        <f>"["&amp;$C1598&amp;"]["&amp;$D1598&amp;"]["&amp;$F1598&amp;"]"</f>
        <v>[S05_InherentCarbonTransferredDetail][20][TransferType]</v>
      </c>
    </row>
    <row r="1599" spans="1:15" x14ac:dyDescent="0.3">
      <c r="A1599" t="s">
        <v>1793</v>
      </c>
      <c r="B1599" t="s">
        <v>2167</v>
      </c>
      <c r="C1599" t="s">
        <v>2169</v>
      </c>
      <c r="D1599">
        <v>21</v>
      </c>
      <c r="E1599" t="s">
        <v>1447</v>
      </c>
      <c r="F1599" t="s">
        <v>2170</v>
      </c>
      <c r="G1599" t="s">
        <v>1737</v>
      </c>
      <c r="H1599" t="s">
        <v>1799</v>
      </c>
      <c r="I1599" t="s">
        <v>1799</v>
      </c>
      <c r="J1599" t="s">
        <v>1799</v>
      </c>
      <c r="K1599" t="s">
        <v>1799</v>
      </c>
      <c r="L1599" t="s">
        <v>1434</v>
      </c>
      <c r="M1599" t="s">
        <v>1799</v>
      </c>
      <c r="N1599" t="s">
        <v>1799</v>
      </c>
      <c r="O1599" s="184" t="str">
        <f>"["&amp;$C1599&amp;"]["&amp;$D1599&amp;"]["&amp;$F1599&amp;"]"</f>
        <v>[S05_InherentCarbonTransferredDetail][21][TransferType]</v>
      </c>
    </row>
    <row r="1600" spans="1:15" x14ac:dyDescent="0.3">
      <c r="A1600" t="s">
        <v>1793</v>
      </c>
      <c r="B1600" t="s">
        <v>2167</v>
      </c>
      <c r="C1600" t="s">
        <v>2169</v>
      </c>
      <c r="D1600">
        <v>22</v>
      </c>
      <c r="E1600" t="s">
        <v>1447</v>
      </c>
      <c r="F1600" t="s">
        <v>2170</v>
      </c>
      <c r="G1600" t="s">
        <v>1737</v>
      </c>
      <c r="H1600" t="s">
        <v>1799</v>
      </c>
      <c r="I1600" t="s">
        <v>1799</v>
      </c>
      <c r="J1600" t="s">
        <v>1799</v>
      </c>
      <c r="K1600" t="s">
        <v>1799</v>
      </c>
      <c r="L1600" t="s">
        <v>1434</v>
      </c>
      <c r="M1600" t="s">
        <v>1799</v>
      </c>
      <c r="N1600" t="s">
        <v>1799</v>
      </c>
      <c r="O1600" s="184" t="str">
        <f>"["&amp;$C1600&amp;"]["&amp;$D1600&amp;"]["&amp;$F1600&amp;"]"</f>
        <v>[S05_InherentCarbonTransferredDetail][22][TransferType]</v>
      </c>
    </row>
    <row r="1601" spans="1:15" x14ac:dyDescent="0.3">
      <c r="A1601" t="s">
        <v>1793</v>
      </c>
      <c r="B1601" t="s">
        <v>2167</v>
      </c>
      <c r="C1601" t="s">
        <v>2169</v>
      </c>
      <c r="D1601">
        <v>23</v>
      </c>
      <c r="E1601" t="s">
        <v>1447</v>
      </c>
      <c r="F1601" t="s">
        <v>2170</v>
      </c>
      <c r="G1601" t="s">
        <v>1737</v>
      </c>
      <c r="H1601" t="s">
        <v>1799</v>
      </c>
      <c r="I1601" t="s">
        <v>1799</v>
      </c>
      <c r="J1601" t="s">
        <v>1799</v>
      </c>
      <c r="K1601" t="s">
        <v>1799</v>
      </c>
      <c r="L1601" t="s">
        <v>1434</v>
      </c>
      <c r="M1601" t="s">
        <v>1799</v>
      </c>
      <c r="N1601" t="s">
        <v>1799</v>
      </c>
      <c r="O1601" s="184" t="str">
        <f>"["&amp;$C1601&amp;"]["&amp;$D1601&amp;"]["&amp;$F1601&amp;"]"</f>
        <v>[S05_InherentCarbonTransferredDetail][23][TransferType]</v>
      </c>
    </row>
    <row r="1602" spans="1:15" x14ac:dyDescent="0.3">
      <c r="A1602" t="s">
        <v>1793</v>
      </c>
      <c r="B1602" t="s">
        <v>2167</v>
      </c>
      <c r="C1602" t="s">
        <v>2169</v>
      </c>
      <c r="D1602">
        <v>24</v>
      </c>
      <c r="E1602" t="s">
        <v>1447</v>
      </c>
      <c r="F1602" t="s">
        <v>2170</v>
      </c>
      <c r="G1602" t="s">
        <v>1737</v>
      </c>
      <c r="H1602" t="s">
        <v>1799</v>
      </c>
      <c r="I1602" t="s">
        <v>1799</v>
      </c>
      <c r="J1602" t="s">
        <v>1799</v>
      </c>
      <c r="K1602" t="s">
        <v>1799</v>
      </c>
      <c r="L1602" t="s">
        <v>1434</v>
      </c>
      <c r="M1602" t="s">
        <v>1799</v>
      </c>
      <c r="N1602" t="s">
        <v>1799</v>
      </c>
      <c r="O1602" s="184" t="str">
        <f>"["&amp;$C1602&amp;"]["&amp;$D1602&amp;"]["&amp;$F1602&amp;"]"</f>
        <v>[S05_InherentCarbonTransferredDetail][24][TransferType]</v>
      </c>
    </row>
    <row r="1603" spans="1:15" x14ac:dyDescent="0.3">
      <c r="A1603" t="s">
        <v>1793</v>
      </c>
      <c r="B1603" t="s">
        <v>2167</v>
      </c>
      <c r="C1603" t="s">
        <v>2169</v>
      </c>
      <c r="D1603">
        <v>25</v>
      </c>
      <c r="E1603" t="s">
        <v>1447</v>
      </c>
      <c r="F1603" t="s">
        <v>2170</v>
      </c>
      <c r="G1603" t="s">
        <v>1737</v>
      </c>
      <c r="H1603" t="s">
        <v>1799</v>
      </c>
      <c r="I1603" t="s">
        <v>1799</v>
      </c>
      <c r="J1603" t="s">
        <v>1799</v>
      </c>
      <c r="K1603" t="s">
        <v>1799</v>
      </c>
      <c r="L1603" t="s">
        <v>1434</v>
      </c>
      <c r="M1603" t="s">
        <v>1799</v>
      </c>
      <c r="N1603" t="s">
        <v>1799</v>
      </c>
      <c r="O1603" s="184" t="str">
        <f>"["&amp;$C1603&amp;"]["&amp;$D1603&amp;"]["&amp;$F1603&amp;"]"</f>
        <v>[S05_InherentCarbonTransferredDetail][25][TransferType]</v>
      </c>
    </row>
    <row r="1604" spans="1:15" x14ac:dyDescent="0.3">
      <c r="A1604" t="s">
        <v>1793</v>
      </c>
      <c r="B1604" t="s">
        <v>2167</v>
      </c>
      <c r="C1604" t="s">
        <v>2169</v>
      </c>
      <c r="D1604">
        <v>26</v>
      </c>
      <c r="E1604" t="s">
        <v>1447</v>
      </c>
      <c r="F1604" t="s">
        <v>2170</v>
      </c>
      <c r="G1604" t="s">
        <v>1737</v>
      </c>
      <c r="H1604" t="s">
        <v>1799</v>
      </c>
      <c r="I1604" t="s">
        <v>1799</v>
      </c>
      <c r="J1604" t="s">
        <v>1799</v>
      </c>
      <c r="K1604" t="s">
        <v>1799</v>
      </c>
      <c r="L1604" t="s">
        <v>1434</v>
      </c>
      <c r="M1604" t="s">
        <v>1799</v>
      </c>
      <c r="N1604" t="s">
        <v>1799</v>
      </c>
      <c r="O1604" s="184" t="str">
        <f>"["&amp;$C1604&amp;"]["&amp;$D1604&amp;"]["&amp;$F1604&amp;"]"</f>
        <v>[S05_InherentCarbonTransferredDetail][26][TransferType]</v>
      </c>
    </row>
    <row r="1605" spans="1:15" x14ac:dyDescent="0.3">
      <c r="A1605" t="s">
        <v>1793</v>
      </c>
      <c r="B1605" t="s">
        <v>2167</v>
      </c>
      <c r="C1605" t="s">
        <v>2169</v>
      </c>
      <c r="D1605">
        <v>27</v>
      </c>
      <c r="E1605" t="s">
        <v>1447</v>
      </c>
      <c r="F1605" t="s">
        <v>2170</v>
      </c>
      <c r="G1605" t="s">
        <v>1737</v>
      </c>
      <c r="H1605" t="s">
        <v>1799</v>
      </c>
      <c r="I1605" t="s">
        <v>1799</v>
      </c>
      <c r="J1605" t="s">
        <v>1799</v>
      </c>
      <c r="K1605" t="s">
        <v>1799</v>
      </c>
      <c r="L1605" t="s">
        <v>1434</v>
      </c>
      <c r="M1605" t="s">
        <v>1799</v>
      </c>
      <c r="N1605" t="s">
        <v>1799</v>
      </c>
      <c r="O1605" s="184" t="str">
        <f>"["&amp;$C1605&amp;"]["&amp;$D1605&amp;"]["&amp;$F1605&amp;"]"</f>
        <v>[S05_InherentCarbonTransferredDetail][27][TransferType]</v>
      </c>
    </row>
    <row r="1606" spans="1:15" x14ac:dyDescent="0.3">
      <c r="A1606" t="s">
        <v>1793</v>
      </c>
      <c r="B1606" t="s">
        <v>2167</v>
      </c>
      <c r="C1606" t="s">
        <v>2169</v>
      </c>
      <c r="D1606">
        <v>28</v>
      </c>
      <c r="E1606" t="s">
        <v>1447</v>
      </c>
      <c r="F1606" t="s">
        <v>2170</v>
      </c>
      <c r="G1606" t="s">
        <v>1737</v>
      </c>
      <c r="H1606" t="s">
        <v>1799</v>
      </c>
      <c r="I1606" t="s">
        <v>1799</v>
      </c>
      <c r="J1606" t="s">
        <v>1799</v>
      </c>
      <c r="K1606" t="s">
        <v>1799</v>
      </c>
      <c r="L1606" t="s">
        <v>1434</v>
      </c>
      <c r="M1606" t="s">
        <v>1799</v>
      </c>
      <c r="N1606" t="s">
        <v>1799</v>
      </c>
      <c r="O1606" s="184" t="str">
        <f>"["&amp;$C1606&amp;"]["&amp;$D1606&amp;"]["&amp;$F1606&amp;"]"</f>
        <v>[S05_InherentCarbonTransferredDetail][28][TransferType]</v>
      </c>
    </row>
    <row r="1607" spans="1:15" x14ac:dyDescent="0.3">
      <c r="A1607" t="s">
        <v>1793</v>
      </c>
      <c r="B1607" t="s">
        <v>2167</v>
      </c>
      <c r="C1607" t="s">
        <v>2169</v>
      </c>
      <c r="D1607">
        <v>29</v>
      </c>
      <c r="E1607" t="s">
        <v>1447</v>
      </c>
      <c r="F1607" t="s">
        <v>2170</v>
      </c>
      <c r="G1607" t="s">
        <v>1737</v>
      </c>
      <c r="H1607" t="s">
        <v>1799</v>
      </c>
      <c r="I1607" t="s">
        <v>1799</v>
      </c>
      <c r="J1607" t="s">
        <v>1799</v>
      </c>
      <c r="K1607" t="s">
        <v>1799</v>
      </c>
      <c r="L1607" t="s">
        <v>1434</v>
      </c>
      <c r="M1607" t="s">
        <v>1799</v>
      </c>
      <c r="N1607" t="s">
        <v>1799</v>
      </c>
      <c r="O1607" s="184" t="str">
        <f>"["&amp;$C1607&amp;"]["&amp;$D1607&amp;"]["&amp;$F1607&amp;"]"</f>
        <v>[S05_InherentCarbonTransferredDetail][29][TransferType]</v>
      </c>
    </row>
    <row r="1608" spans="1:15" x14ac:dyDescent="0.3">
      <c r="A1608" t="s">
        <v>1793</v>
      </c>
      <c r="B1608" t="s">
        <v>2167</v>
      </c>
      <c r="C1608" t="s">
        <v>2169</v>
      </c>
      <c r="D1608">
        <v>30</v>
      </c>
      <c r="E1608" t="s">
        <v>1447</v>
      </c>
      <c r="F1608" t="s">
        <v>2170</v>
      </c>
      <c r="G1608" t="s">
        <v>1737</v>
      </c>
      <c r="H1608" t="s">
        <v>1799</v>
      </c>
      <c r="I1608" t="s">
        <v>1799</v>
      </c>
      <c r="J1608" t="s">
        <v>1799</v>
      </c>
      <c r="K1608" t="s">
        <v>1799</v>
      </c>
      <c r="L1608" t="s">
        <v>1434</v>
      </c>
      <c r="M1608" t="s">
        <v>1799</v>
      </c>
      <c r="N1608" t="s">
        <v>1799</v>
      </c>
      <c r="O1608" s="184" t="str">
        <f>"["&amp;$C1608&amp;"]["&amp;$D1608&amp;"]["&amp;$F1608&amp;"]"</f>
        <v>[S05_InherentCarbonTransferredDetail][30][TransferType]</v>
      </c>
    </row>
    <row r="1609" spans="1:15" x14ac:dyDescent="0.3">
      <c r="A1609" t="s">
        <v>1793</v>
      </c>
      <c r="B1609" t="s">
        <v>2167</v>
      </c>
      <c r="C1609" t="s">
        <v>2169</v>
      </c>
      <c r="D1609">
        <v>31</v>
      </c>
      <c r="E1609" t="s">
        <v>1447</v>
      </c>
      <c r="F1609" t="s">
        <v>2170</v>
      </c>
      <c r="G1609" t="s">
        <v>1737</v>
      </c>
      <c r="H1609" t="s">
        <v>1799</v>
      </c>
      <c r="I1609" t="s">
        <v>1799</v>
      </c>
      <c r="J1609" t="s">
        <v>1799</v>
      </c>
      <c r="K1609" t="s">
        <v>1799</v>
      </c>
      <c r="L1609" t="s">
        <v>1434</v>
      </c>
      <c r="M1609" t="s">
        <v>1799</v>
      </c>
      <c r="N1609" t="s">
        <v>1799</v>
      </c>
      <c r="O1609" s="184" t="str">
        <f>"["&amp;$C1609&amp;"]["&amp;$D1609&amp;"]["&amp;$F1609&amp;"]"</f>
        <v>[S05_InherentCarbonTransferredDetail][31][TransferType]</v>
      </c>
    </row>
    <row r="1610" spans="1:15" x14ac:dyDescent="0.3">
      <c r="A1610" t="s">
        <v>1793</v>
      </c>
      <c r="B1610" t="s">
        <v>2167</v>
      </c>
      <c r="C1610" t="s">
        <v>2169</v>
      </c>
      <c r="D1610">
        <v>32</v>
      </c>
      <c r="E1610" t="s">
        <v>1447</v>
      </c>
      <c r="F1610" t="s">
        <v>2170</v>
      </c>
      <c r="G1610" t="s">
        <v>1737</v>
      </c>
      <c r="H1610" t="s">
        <v>1799</v>
      </c>
      <c r="I1610" t="s">
        <v>1799</v>
      </c>
      <c r="J1610" t="s">
        <v>1799</v>
      </c>
      <c r="K1610" t="s">
        <v>1799</v>
      </c>
      <c r="L1610" t="s">
        <v>1434</v>
      </c>
      <c r="M1610" t="s">
        <v>1799</v>
      </c>
      <c r="N1610" t="s">
        <v>1799</v>
      </c>
      <c r="O1610" s="184" t="str">
        <f>"["&amp;$C1610&amp;"]["&amp;$D1610&amp;"]["&amp;$F1610&amp;"]"</f>
        <v>[S05_InherentCarbonTransferredDetail][32][TransferType]</v>
      </c>
    </row>
    <row r="1611" spans="1:15" x14ac:dyDescent="0.3">
      <c r="A1611" t="s">
        <v>1793</v>
      </c>
      <c r="B1611" t="s">
        <v>2167</v>
      </c>
      <c r="C1611" t="s">
        <v>2169</v>
      </c>
      <c r="D1611">
        <v>33</v>
      </c>
      <c r="E1611" t="s">
        <v>1447</v>
      </c>
      <c r="F1611" t="s">
        <v>2170</v>
      </c>
      <c r="G1611" t="s">
        <v>1737</v>
      </c>
      <c r="H1611" t="s">
        <v>1799</v>
      </c>
      <c r="I1611" t="s">
        <v>1799</v>
      </c>
      <c r="J1611" t="s">
        <v>1799</v>
      </c>
      <c r="K1611" t="s">
        <v>1799</v>
      </c>
      <c r="L1611" t="s">
        <v>1434</v>
      </c>
      <c r="M1611" t="s">
        <v>1799</v>
      </c>
      <c r="N1611" t="s">
        <v>1799</v>
      </c>
      <c r="O1611" s="184" t="str">
        <f>"["&amp;$C1611&amp;"]["&amp;$D1611&amp;"]["&amp;$F1611&amp;"]"</f>
        <v>[S05_InherentCarbonTransferredDetail][33][TransferType]</v>
      </c>
    </row>
    <row r="1612" spans="1:15" x14ac:dyDescent="0.3">
      <c r="A1612" t="s">
        <v>1793</v>
      </c>
      <c r="B1612" t="s">
        <v>2167</v>
      </c>
      <c r="C1612" t="s">
        <v>2169</v>
      </c>
      <c r="D1612">
        <v>34</v>
      </c>
      <c r="E1612" t="s">
        <v>1447</v>
      </c>
      <c r="F1612" t="s">
        <v>2170</v>
      </c>
      <c r="G1612" t="s">
        <v>1737</v>
      </c>
      <c r="H1612" t="s">
        <v>1799</v>
      </c>
      <c r="I1612" t="s">
        <v>1799</v>
      </c>
      <c r="J1612" t="s">
        <v>1799</v>
      </c>
      <c r="K1612" t="s">
        <v>1799</v>
      </c>
      <c r="L1612" t="s">
        <v>1434</v>
      </c>
      <c r="M1612" t="s">
        <v>1799</v>
      </c>
      <c r="N1612" t="s">
        <v>1799</v>
      </c>
      <c r="O1612" s="184" t="str">
        <f>"["&amp;$C1612&amp;"]["&amp;$D1612&amp;"]["&amp;$F1612&amp;"]"</f>
        <v>[S05_InherentCarbonTransferredDetail][34][TransferType]</v>
      </c>
    </row>
    <row r="1613" spans="1:15" x14ac:dyDescent="0.3">
      <c r="A1613" t="s">
        <v>1793</v>
      </c>
      <c r="B1613" t="s">
        <v>2167</v>
      </c>
      <c r="C1613" t="s">
        <v>2169</v>
      </c>
      <c r="D1613">
        <v>35</v>
      </c>
      <c r="E1613" t="s">
        <v>1447</v>
      </c>
      <c r="F1613" t="s">
        <v>2170</v>
      </c>
      <c r="G1613" t="s">
        <v>1737</v>
      </c>
      <c r="H1613" t="s">
        <v>1799</v>
      </c>
      <c r="I1613" t="s">
        <v>1799</v>
      </c>
      <c r="J1613" t="s">
        <v>1799</v>
      </c>
      <c r="K1613" t="s">
        <v>1799</v>
      </c>
      <c r="L1613" t="s">
        <v>1434</v>
      </c>
      <c r="M1613" t="s">
        <v>1799</v>
      </c>
      <c r="N1613" t="s">
        <v>1799</v>
      </c>
      <c r="O1613" s="184" t="str">
        <f>"["&amp;$C1613&amp;"]["&amp;$D1613&amp;"]["&amp;$F1613&amp;"]"</f>
        <v>[S05_InherentCarbonTransferredDetail][35][TransferType]</v>
      </c>
    </row>
    <row r="1614" spans="1:15" x14ac:dyDescent="0.3">
      <c r="A1614" t="s">
        <v>1793</v>
      </c>
      <c r="B1614" t="s">
        <v>2167</v>
      </c>
      <c r="C1614" t="s">
        <v>2169</v>
      </c>
      <c r="D1614">
        <v>36</v>
      </c>
      <c r="E1614" t="s">
        <v>1447</v>
      </c>
      <c r="F1614" t="s">
        <v>2170</v>
      </c>
      <c r="G1614" t="s">
        <v>1737</v>
      </c>
      <c r="H1614" t="s">
        <v>1799</v>
      </c>
      <c r="I1614" t="s">
        <v>1799</v>
      </c>
      <c r="J1614" t="s">
        <v>1799</v>
      </c>
      <c r="K1614" t="s">
        <v>1799</v>
      </c>
      <c r="L1614" t="s">
        <v>1434</v>
      </c>
      <c r="M1614" t="s">
        <v>1799</v>
      </c>
      <c r="N1614" t="s">
        <v>1799</v>
      </c>
      <c r="O1614" s="184" t="str">
        <f>"["&amp;$C1614&amp;"]["&amp;$D1614&amp;"]["&amp;$F1614&amp;"]"</f>
        <v>[S05_InherentCarbonTransferredDetail][36][TransferType]</v>
      </c>
    </row>
    <row r="1615" spans="1:15" x14ac:dyDescent="0.3">
      <c r="A1615" t="s">
        <v>1793</v>
      </c>
      <c r="B1615" t="s">
        <v>2167</v>
      </c>
      <c r="C1615" t="s">
        <v>2169</v>
      </c>
      <c r="D1615">
        <v>37</v>
      </c>
      <c r="E1615" t="s">
        <v>1447</v>
      </c>
      <c r="F1615" t="s">
        <v>2170</v>
      </c>
      <c r="G1615" t="s">
        <v>1737</v>
      </c>
      <c r="H1615" t="s">
        <v>1799</v>
      </c>
      <c r="I1615" t="s">
        <v>1799</v>
      </c>
      <c r="J1615" t="s">
        <v>1799</v>
      </c>
      <c r="K1615" t="s">
        <v>1799</v>
      </c>
      <c r="L1615" t="s">
        <v>1434</v>
      </c>
      <c r="M1615" t="s">
        <v>1799</v>
      </c>
      <c r="N1615" t="s">
        <v>1799</v>
      </c>
      <c r="O1615" s="184" t="str">
        <f>"["&amp;$C1615&amp;"]["&amp;$D1615&amp;"]["&amp;$F1615&amp;"]"</f>
        <v>[S05_InherentCarbonTransferredDetail][37][TransferType]</v>
      </c>
    </row>
    <row r="1616" spans="1:15" x14ac:dyDescent="0.3">
      <c r="A1616" t="s">
        <v>1793</v>
      </c>
      <c r="B1616" t="s">
        <v>2167</v>
      </c>
      <c r="C1616" t="s">
        <v>2169</v>
      </c>
      <c r="D1616">
        <v>38</v>
      </c>
      <c r="E1616" t="s">
        <v>1447</v>
      </c>
      <c r="F1616" t="s">
        <v>2170</v>
      </c>
      <c r="G1616" t="s">
        <v>1737</v>
      </c>
      <c r="H1616" t="s">
        <v>1799</v>
      </c>
      <c r="I1616" t="s">
        <v>1799</v>
      </c>
      <c r="J1616" t="s">
        <v>1799</v>
      </c>
      <c r="K1616" t="s">
        <v>1799</v>
      </c>
      <c r="L1616" t="s">
        <v>1434</v>
      </c>
      <c r="M1616" t="s">
        <v>1799</v>
      </c>
      <c r="N1616" t="s">
        <v>1799</v>
      </c>
      <c r="O1616" s="184" t="str">
        <f>"["&amp;$C1616&amp;"]["&amp;$D1616&amp;"]["&amp;$F1616&amp;"]"</f>
        <v>[S05_InherentCarbonTransferredDetail][38][TransferType]</v>
      </c>
    </row>
    <row r="1617" spans="1:15" x14ac:dyDescent="0.3">
      <c r="A1617" t="s">
        <v>1793</v>
      </c>
      <c r="B1617" t="s">
        <v>2167</v>
      </c>
      <c r="C1617" t="s">
        <v>2169</v>
      </c>
      <c r="D1617">
        <v>39</v>
      </c>
      <c r="E1617" t="s">
        <v>1447</v>
      </c>
      <c r="F1617" t="s">
        <v>2170</v>
      </c>
      <c r="G1617" t="s">
        <v>1737</v>
      </c>
      <c r="H1617" t="s">
        <v>1799</v>
      </c>
      <c r="I1617" t="s">
        <v>1799</v>
      </c>
      <c r="J1617" t="s">
        <v>1799</v>
      </c>
      <c r="K1617" t="s">
        <v>1799</v>
      </c>
      <c r="L1617" t="s">
        <v>1434</v>
      </c>
      <c r="M1617" t="s">
        <v>1799</v>
      </c>
      <c r="N1617" t="s">
        <v>1799</v>
      </c>
      <c r="O1617" s="184" t="str">
        <f>"["&amp;$C1617&amp;"]["&amp;$D1617&amp;"]["&amp;$F1617&amp;"]"</f>
        <v>[S05_InherentCarbonTransferredDetail][39][TransferType]</v>
      </c>
    </row>
    <row r="1618" spans="1:15" x14ac:dyDescent="0.3">
      <c r="A1618" t="s">
        <v>1793</v>
      </c>
      <c r="B1618" t="s">
        <v>2167</v>
      </c>
      <c r="C1618" t="s">
        <v>2169</v>
      </c>
      <c r="D1618">
        <v>40</v>
      </c>
      <c r="E1618" t="s">
        <v>1447</v>
      </c>
      <c r="F1618" t="s">
        <v>2170</v>
      </c>
      <c r="G1618" t="s">
        <v>1737</v>
      </c>
      <c r="H1618" t="s">
        <v>1799</v>
      </c>
      <c r="I1618" t="s">
        <v>1799</v>
      </c>
      <c r="J1618" t="s">
        <v>1799</v>
      </c>
      <c r="K1618" t="s">
        <v>1799</v>
      </c>
      <c r="L1618" t="s">
        <v>1434</v>
      </c>
      <c r="M1618" t="s">
        <v>1799</v>
      </c>
      <c r="N1618" t="s">
        <v>1799</v>
      </c>
      <c r="O1618" s="184" t="str">
        <f>"["&amp;$C1618&amp;"]["&amp;$D1618&amp;"]["&amp;$F1618&amp;"]"</f>
        <v>[S05_InherentCarbonTransferredDetail][40][TransferType]</v>
      </c>
    </row>
    <row r="1619" spans="1:15" x14ac:dyDescent="0.3">
      <c r="A1619" t="s">
        <v>1793</v>
      </c>
      <c r="B1619" t="s">
        <v>2167</v>
      </c>
      <c r="C1619" t="s">
        <v>2169</v>
      </c>
      <c r="D1619">
        <v>41</v>
      </c>
      <c r="E1619" t="s">
        <v>1447</v>
      </c>
      <c r="F1619" t="s">
        <v>2170</v>
      </c>
      <c r="G1619" t="s">
        <v>1737</v>
      </c>
      <c r="H1619" t="s">
        <v>1799</v>
      </c>
      <c r="I1619" t="s">
        <v>1799</v>
      </c>
      <c r="J1619" t="s">
        <v>1799</v>
      </c>
      <c r="K1619" t="s">
        <v>1799</v>
      </c>
      <c r="L1619" t="s">
        <v>1434</v>
      </c>
      <c r="M1619" t="s">
        <v>1799</v>
      </c>
      <c r="N1619" t="s">
        <v>1799</v>
      </c>
      <c r="O1619" s="184" t="str">
        <f>"["&amp;$C1619&amp;"]["&amp;$D1619&amp;"]["&amp;$F1619&amp;"]"</f>
        <v>[S05_InherentCarbonTransferredDetail][41][TransferType]</v>
      </c>
    </row>
    <row r="1620" spans="1:15" x14ac:dyDescent="0.3">
      <c r="A1620" t="s">
        <v>1793</v>
      </c>
      <c r="B1620" t="s">
        <v>2167</v>
      </c>
      <c r="C1620" t="s">
        <v>2169</v>
      </c>
      <c r="D1620">
        <v>42</v>
      </c>
      <c r="E1620" t="s">
        <v>1447</v>
      </c>
      <c r="F1620" t="s">
        <v>2170</v>
      </c>
      <c r="G1620" t="s">
        <v>1737</v>
      </c>
      <c r="H1620" t="s">
        <v>1799</v>
      </c>
      <c r="I1620" t="s">
        <v>1799</v>
      </c>
      <c r="J1620" t="s">
        <v>1799</v>
      </c>
      <c r="K1620" t="s">
        <v>1799</v>
      </c>
      <c r="L1620" t="s">
        <v>1434</v>
      </c>
      <c r="M1620" t="s">
        <v>1799</v>
      </c>
      <c r="N1620" t="s">
        <v>1799</v>
      </c>
      <c r="O1620" s="184" t="str">
        <f>"["&amp;$C1620&amp;"]["&amp;$D1620&amp;"]["&amp;$F1620&amp;"]"</f>
        <v>[S05_InherentCarbonTransferredDetail][42][TransferType]</v>
      </c>
    </row>
    <row r="1621" spans="1:15" x14ac:dyDescent="0.3">
      <c r="A1621" t="s">
        <v>1793</v>
      </c>
      <c r="B1621" t="s">
        <v>2167</v>
      </c>
      <c r="C1621" t="s">
        <v>2169</v>
      </c>
      <c r="D1621">
        <v>43</v>
      </c>
      <c r="E1621" t="s">
        <v>1447</v>
      </c>
      <c r="F1621" t="s">
        <v>2170</v>
      </c>
      <c r="G1621" t="s">
        <v>1737</v>
      </c>
      <c r="H1621" t="s">
        <v>1799</v>
      </c>
      <c r="I1621" t="s">
        <v>1799</v>
      </c>
      <c r="J1621" t="s">
        <v>1799</v>
      </c>
      <c r="K1621" t="s">
        <v>1799</v>
      </c>
      <c r="L1621" t="s">
        <v>1434</v>
      </c>
      <c r="M1621" t="s">
        <v>1799</v>
      </c>
      <c r="N1621" t="s">
        <v>1799</v>
      </c>
      <c r="O1621" s="184" t="str">
        <f>"["&amp;$C1621&amp;"]["&amp;$D1621&amp;"]["&amp;$F1621&amp;"]"</f>
        <v>[S05_InherentCarbonTransferredDetail][43][TransferType]</v>
      </c>
    </row>
    <row r="1622" spans="1:15" x14ac:dyDescent="0.3">
      <c r="A1622" t="s">
        <v>1793</v>
      </c>
      <c r="B1622" t="s">
        <v>2167</v>
      </c>
      <c r="C1622" t="s">
        <v>2169</v>
      </c>
      <c r="D1622">
        <v>44</v>
      </c>
      <c r="E1622" t="s">
        <v>1447</v>
      </c>
      <c r="F1622" t="s">
        <v>2170</v>
      </c>
      <c r="G1622" t="s">
        <v>1737</v>
      </c>
      <c r="H1622" t="s">
        <v>1799</v>
      </c>
      <c r="I1622" t="s">
        <v>1799</v>
      </c>
      <c r="J1622" t="s">
        <v>1799</v>
      </c>
      <c r="K1622" t="s">
        <v>1799</v>
      </c>
      <c r="L1622" t="s">
        <v>1434</v>
      </c>
      <c r="M1622" t="s">
        <v>1799</v>
      </c>
      <c r="N1622" t="s">
        <v>1799</v>
      </c>
      <c r="O1622" s="184" t="str">
        <f>"["&amp;$C1622&amp;"]["&amp;$D1622&amp;"]["&amp;$F1622&amp;"]"</f>
        <v>[S05_InherentCarbonTransferredDetail][44][TransferType]</v>
      </c>
    </row>
    <row r="1623" spans="1:15" x14ac:dyDescent="0.3">
      <c r="A1623" t="s">
        <v>1793</v>
      </c>
      <c r="B1623" t="s">
        <v>2167</v>
      </c>
      <c r="C1623" t="s">
        <v>2169</v>
      </c>
      <c r="D1623">
        <v>45</v>
      </c>
      <c r="E1623" t="s">
        <v>1447</v>
      </c>
      <c r="F1623" t="s">
        <v>2170</v>
      </c>
      <c r="G1623" t="s">
        <v>1737</v>
      </c>
      <c r="H1623" t="s">
        <v>1799</v>
      </c>
      <c r="I1623" t="s">
        <v>1799</v>
      </c>
      <c r="J1623" t="s">
        <v>1799</v>
      </c>
      <c r="K1623" t="s">
        <v>1799</v>
      </c>
      <c r="L1623" t="s">
        <v>1434</v>
      </c>
      <c r="M1623" t="s">
        <v>1799</v>
      </c>
      <c r="N1623" t="s">
        <v>1799</v>
      </c>
      <c r="O1623" s="184" t="str">
        <f>"["&amp;$C1623&amp;"]["&amp;$D1623&amp;"]["&amp;$F1623&amp;"]"</f>
        <v>[S05_InherentCarbonTransferredDetail][45][TransferType]</v>
      </c>
    </row>
    <row r="1624" spans="1:15" x14ac:dyDescent="0.3">
      <c r="A1624" t="s">
        <v>1793</v>
      </c>
      <c r="B1624" t="s">
        <v>2167</v>
      </c>
      <c r="C1624" t="s">
        <v>2169</v>
      </c>
      <c r="D1624">
        <v>46</v>
      </c>
      <c r="E1624" t="s">
        <v>1447</v>
      </c>
      <c r="F1624" t="s">
        <v>2170</v>
      </c>
      <c r="G1624" t="s">
        <v>1737</v>
      </c>
      <c r="H1624" t="s">
        <v>1799</v>
      </c>
      <c r="I1624" t="s">
        <v>1799</v>
      </c>
      <c r="J1624" t="s">
        <v>1799</v>
      </c>
      <c r="K1624" t="s">
        <v>1799</v>
      </c>
      <c r="L1624" t="s">
        <v>1434</v>
      </c>
      <c r="M1624" t="s">
        <v>1799</v>
      </c>
      <c r="N1624" t="s">
        <v>1799</v>
      </c>
      <c r="O1624" s="184" t="str">
        <f>"["&amp;$C1624&amp;"]["&amp;$D1624&amp;"]["&amp;$F1624&amp;"]"</f>
        <v>[S05_InherentCarbonTransferredDetail][46][TransferType]</v>
      </c>
    </row>
    <row r="1625" spans="1:15" x14ac:dyDescent="0.3">
      <c r="A1625" t="s">
        <v>1793</v>
      </c>
      <c r="B1625" t="s">
        <v>2167</v>
      </c>
      <c r="C1625" t="s">
        <v>2169</v>
      </c>
      <c r="D1625">
        <v>47</v>
      </c>
      <c r="E1625" t="s">
        <v>1447</v>
      </c>
      <c r="F1625" t="s">
        <v>2170</v>
      </c>
      <c r="G1625" t="s">
        <v>1737</v>
      </c>
      <c r="H1625" t="s">
        <v>1799</v>
      </c>
      <c r="I1625" t="s">
        <v>1799</v>
      </c>
      <c r="J1625" t="s">
        <v>1799</v>
      </c>
      <c r="K1625" t="s">
        <v>1799</v>
      </c>
      <c r="L1625" t="s">
        <v>1434</v>
      </c>
      <c r="M1625" t="s">
        <v>1799</v>
      </c>
      <c r="N1625" t="s">
        <v>1799</v>
      </c>
      <c r="O1625" s="184" t="str">
        <f>"["&amp;$C1625&amp;"]["&amp;$D1625&amp;"]["&amp;$F1625&amp;"]"</f>
        <v>[S05_InherentCarbonTransferredDetail][47][TransferType]</v>
      </c>
    </row>
    <row r="1626" spans="1:15" x14ac:dyDescent="0.3">
      <c r="A1626" t="s">
        <v>1793</v>
      </c>
      <c r="B1626" t="s">
        <v>2167</v>
      </c>
      <c r="C1626" t="s">
        <v>2169</v>
      </c>
      <c r="D1626">
        <v>48</v>
      </c>
      <c r="E1626" t="s">
        <v>1447</v>
      </c>
      <c r="F1626" t="s">
        <v>2170</v>
      </c>
      <c r="G1626" t="s">
        <v>1737</v>
      </c>
      <c r="H1626" t="s">
        <v>1799</v>
      </c>
      <c r="I1626" t="s">
        <v>1799</v>
      </c>
      <c r="J1626" t="s">
        <v>1799</v>
      </c>
      <c r="K1626" t="s">
        <v>1799</v>
      </c>
      <c r="L1626" t="s">
        <v>1434</v>
      </c>
      <c r="M1626" t="s">
        <v>1799</v>
      </c>
      <c r="N1626" t="s">
        <v>1799</v>
      </c>
      <c r="O1626" s="184" t="str">
        <f>"["&amp;$C1626&amp;"]["&amp;$D1626&amp;"]["&amp;$F1626&amp;"]"</f>
        <v>[S05_InherentCarbonTransferredDetail][48][TransferType]</v>
      </c>
    </row>
    <row r="1627" spans="1:15" x14ac:dyDescent="0.3">
      <c r="A1627" t="s">
        <v>1793</v>
      </c>
      <c r="B1627" t="s">
        <v>2167</v>
      </c>
      <c r="C1627" t="s">
        <v>2169</v>
      </c>
      <c r="D1627">
        <v>49</v>
      </c>
      <c r="E1627" t="s">
        <v>1447</v>
      </c>
      <c r="F1627" t="s">
        <v>2170</v>
      </c>
      <c r="G1627" t="s">
        <v>1737</v>
      </c>
      <c r="H1627" t="s">
        <v>1799</v>
      </c>
      <c r="I1627" t="s">
        <v>1799</v>
      </c>
      <c r="J1627" t="s">
        <v>1799</v>
      </c>
      <c r="K1627" t="s">
        <v>1799</v>
      </c>
      <c r="L1627" t="s">
        <v>1434</v>
      </c>
      <c r="M1627" t="s">
        <v>1799</v>
      </c>
      <c r="N1627" t="s">
        <v>1799</v>
      </c>
      <c r="O1627" s="184" t="str">
        <f>"["&amp;$C1627&amp;"]["&amp;$D1627&amp;"]["&amp;$F1627&amp;"]"</f>
        <v>[S05_InherentCarbonTransferredDetail][49][TransferType]</v>
      </c>
    </row>
    <row r="1628" spans="1:15" x14ac:dyDescent="0.3">
      <c r="A1628" t="s">
        <v>1793</v>
      </c>
      <c r="B1628" t="s">
        <v>2167</v>
      </c>
      <c r="C1628" t="s">
        <v>2169</v>
      </c>
      <c r="D1628">
        <v>50</v>
      </c>
      <c r="E1628" t="s">
        <v>1447</v>
      </c>
      <c r="F1628" t="s">
        <v>2170</v>
      </c>
      <c r="G1628" t="s">
        <v>1737</v>
      </c>
      <c r="H1628" t="s">
        <v>1799</v>
      </c>
      <c r="I1628" t="s">
        <v>1799</v>
      </c>
      <c r="J1628" t="s">
        <v>1799</v>
      </c>
      <c r="K1628" t="s">
        <v>1799</v>
      </c>
      <c r="L1628" t="s">
        <v>1434</v>
      </c>
      <c r="M1628" t="s">
        <v>1799</v>
      </c>
      <c r="N1628" t="s">
        <v>1799</v>
      </c>
      <c r="O1628" s="184" t="str">
        <f>"["&amp;$C1628&amp;"]["&amp;$D1628&amp;"]["&amp;$F1628&amp;"]"</f>
        <v>[S05_InherentCarbonTransferredDetail][50][TransferType]</v>
      </c>
    </row>
    <row r="1629" spans="1:15" x14ac:dyDescent="0.3">
      <c r="A1629" t="s">
        <v>1793</v>
      </c>
      <c r="B1629" t="s">
        <v>2167</v>
      </c>
      <c r="C1629" t="s">
        <v>2169</v>
      </c>
      <c r="D1629">
        <v>51</v>
      </c>
      <c r="E1629" t="s">
        <v>1447</v>
      </c>
      <c r="F1629" t="s">
        <v>2170</v>
      </c>
      <c r="G1629" t="s">
        <v>1737</v>
      </c>
      <c r="H1629" t="s">
        <v>1799</v>
      </c>
      <c r="I1629" t="s">
        <v>1799</v>
      </c>
      <c r="J1629" t="s">
        <v>1799</v>
      </c>
      <c r="K1629" t="s">
        <v>1799</v>
      </c>
      <c r="L1629" t="s">
        <v>1434</v>
      </c>
      <c r="M1629" t="s">
        <v>1799</v>
      </c>
      <c r="N1629" t="s">
        <v>1799</v>
      </c>
      <c r="O1629" s="184" t="str">
        <f>"["&amp;$C1629&amp;"]["&amp;$D1629&amp;"]["&amp;$F1629&amp;"]"</f>
        <v>[S05_InherentCarbonTransferredDetail][51][TransferType]</v>
      </c>
    </row>
    <row r="1630" spans="1:15" x14ac:dyDescent="0.3">
      <c r="A1630" t="s">
        <v>1793</v>
      </c>
      <c r="B1630" t="s">
        <v>2167</v>
      </c>
      <c r="C1630" t="s">
        <v>2169</v>
      </c>
      <c r="D1630">
        <v>52</v>
      </c>
      <c r="E1630" t="s">
        <v>1447</v>
      </c>
      <c r="F1630" t="s">
        <v>2170</v>
      </c>
      <c r="G1630" t="s">
        <v>1737</v>
      </c>
      <c r="H1630" t="s">
        <v>1799</v>
      </c>
      <c r="I1630" t="s">
        <v>1799</v>
      </c>
      <c r="J1630" t="s">
        <v>1799</v>
      </c>
      <c r="K1630" t="s">
        <v>1799</v>
      </c>
      <c r="L1630" t="s">
        <v>1434</v>
      </c>
      <c r="M1630" t="s">
        <v>1799</v>
      </c>
      <c r="N1630" t="s">
        <v>1799</v>
      </c>
      <c r="O1630" s="184" t="str">
        <f>"["&amp;$C1630&amp;"]["&amp;$D1630&amp;"]["&amp;$F1630&amp;"]"</f>
        <v>[S05_InherentCarbonTransferredDetail][52][TransferType]</v>
      </c>
    </row>
    <row r="1631" spans="1:15" x14ac:dyDescent="0.3">
      <c r="A1631" t="s">
        <v>1793</v>
      </c>
      <c r="B1631" t="s">
        <v>2167</v>
      </c>
      <c r="C1631" t="s">
        <v>2169</v>
      </c>
      <c r="D1631">
        <v>53</v>
      </c>
      <c r="E1631" t="s">
        <v>1447</v>
      </c>
      <c r="F1631" t="s">
        <v>2170</v>
      </c>
      <c r="G1631" t="s">
        <v>1737</v>
      </c>
      <c r="H1631" t="s">
        <v>1799</v>
      </c>
      <c r="I1631" t="s">
        <v>1799</v>
      </c>
      <c r="J1631" t="s">
        <v>1799</v>
      </c>
      <c r="K1631" t="s">
        <v>1799</v>
      </c>
      <c r="L1631" t="s">
        <v>1434</v>
      </c>
      <c r="M1631" t="s">
        <v>1799</v>
      </c>
      <c r="N1631" t="s">
        <v>1799</v>
      </c>
      <c r="O1631" s="184" t="str">
        <f>"["&amp;$C1631&amp;"]["&amp;$D1631&amp;"]["&amp;$F1631&amp;"]"</f>
        <v>[S05_InherentCarbonTransferredDetail][53][TransferType]</v>
      </c>
    </row>
    <row r="1632" spans="1:15" x14ac:dyDescent="0.3">
      <c r="A1632" t="s">
        <v>1793</v>
      </c>
      <c r="B1632" t="s">
        <v>2167</v>
      </c>
      <c r="C1632" t="s">
        <v>2169</v>
      </c>
      <c r="D1632">
        <v>54</v>
      </c>
      <c r="E1632" t="s">
        <v>1447</v>
      </c>
      <c r="F1632" t="s">
        <v>2170</v>
      </c>
      <c r="G1632" t="s">
        <v>1737</v>
      </c>
      <c r="H1632" t="s">
        <v>1799</v>
      </c>
      <c r="I1632" t="s">
        <v>1799</v>
      </c>
      <c r="J1632" t="s">
        <v>1799</v>
      </c>
      <c r="K1632" t="s">
        <v>1799</v>
      </c>
      <c r="L1632" t="s">
        <v>1434</v>
      </c>
      <c r="M1632" t="s">
        <v>1799</v>
      </c>
      <c r="N1632" t="s">
        <v>1799</v>
      </c>
      <c r="O1632" s="184" t="str">
        <f>"["&amp;$C1632&amp;"]["&amp;$D1632&amp;"]["&amp;$F1632&amp;"]"</f>
        <v>[S05_InherentCarbonTransferredDetail][54][TransferType]</v>
      </c>
    </row>
    <row r="1633" spans="1:15" x14ac:dyDescent="0.3">
      <c r="A1633" t="s">
        <v>1793</v>
      </c>
      <c r="B1633" t="s">
        <v>2167</v>
      </c>
      <c r="C1633" t="s">
        <v>2169</v>
      </c>
      <c r="D1633">
        <v>55</v>
      </c>
      <c r="E1633" t="s">
        <v>1447</v>
      </c>
      <c r="F1633" t="s">
        <v>2170</v>
      </c>
      <c r="G1633" t="s">
        <v>1737</v>
      </c>
      <c r="H1633" t="s">
        <v>1799</v>
      </c>
      <c r="I1633" t="s">
        <v>1799</v>
      </c>
      <c r="J1633" t="s">
        <v>1799</v>
      </c>
      <c r="K1633" t="s">
        <v>1799</v>
      </c>
      <c r="L1633" t="s">
        <v>1434</v>
      </c>
      <c r="M1633" t="s">
        <v>1799</v>
      </c>
      <c r="N1633" t="s">
        <v>1799</v>
      </c>
      <c r="O1633" s="184" t="str">
        <f>"["&amp;$C1633&amp;"]["&amp;$D1633&amp;"]["&amp;$F1633&amp;"]"</f>
        <v>[S05_InherentCarbonTransferredDetail][55][TransferType]</v>
      </c>
    </row>
    <row r="1634" spans="1:15" x14ac:dyDescent="0.3">
      <c r="A1634" t="s">
        <v>1793</v>
      </c>
      <c r="B1634" t="s">
        <v>2167</v>
      </c>
      <c r="C1634" t="s">
        <v>2169</v>
      </c>
      <c r="D1634">
        <v>56</v>
      </c>
      <c r="E1634" t="s">
        <v>1447</v>
      </c>
      <c r="F1634" t="s">
        <v>2170</v>
      </c>
      <c r="G1634" t="s">
        <v>1737</v>
      </c>
      <c r="H1634" t="s">
        <v>1799</v>
      </c>
      <c r="I1634" t="s">
        <v>1799</v>
      </c>
      <c r="J1634" t="s">
        <v>1799</v>
      </c>
      <c r="K1634" t="s">
        <v>1799</v>
      </c>
      <c r="L1634" t="s">
        <v>1434</v>
      </c>
      <c r="M1634" t="s">
        <v>1799</v>
      </c>
      <c r="N1634" t="s">
        <v>1799</v>
      </c>
      <c r="O1634" s="184" t="str">
        <f>"["&amp;$C1634&amp;"]["&amp;$D1634&amp;"]["&amp;$F1634&amp;"]"</f>
        <v>[S05_InherentCarbonTransferredDetail][56][TransferType]</v>
      </c>
    </row>
    <row r="1635" spans="1:15" x14ac:dyDescent="0.3">
      <c r="A1635" t="s">
        <v>1793</v>
      </c>
      <c r="B1635" t="s">
        <v>2167</v>
      </c>
      <c r="C1635" t="s">
        <v>2169</v>
      </c>
      <c r="D1635">
        <v>57</v>
      </c>
      <c r="E1635" t="s">
        <v>1447</v>
      </c>
      <c r="F1635" t="s">
        <v>2170</v>
      </c>
      <c r="G1635" t="s">
        <v>1737</v>
      </c>
      <c r="H1635" t="s">
        <v>1799</v>
      </c>
      <c r="I1635" t="s">
        <v>1799</v>
      </c>
      <c r="J1635" t="s">
        <v>1799</v>
      </c>
      <c r="K1635" t="s">
        <v>1799</v>
      </c>
      <c r="L1635" t="s">
        <v>1434</v>
      </c>
      <c r="M1635" t="s">
        <v>1799</v>
      </c>
      <c r="N1635" t="s">
        <v>1799</v>
      </c>
      <c r="O1635" s="184" t="str">
        <f>"["&amp;$C1635&amp;"]["&amp;$D1635&amp;"]["&amp;$F1635&amp;"]"</f>
        <v>[S05_InherentCarbonTransferredDetail][57][TransferType]</v>
      </c>
    </row>
    <row r="1636" spans="1:15" x14ac:dyDescent="0.3">
      <c r="A1636" t="s">
        <v>1793</v>
      </c>
      <c r="B1636" t="s">
        <v>2167</v>
      </c>
      <c r="C1636" t="s">
        <v>2169</v>
      </c>
      <c r="D1636">
        <v>58</v>
      </c>
      <c r="E1636" t="s">
        <v>1447</v>
      </c>
      <c r="F1636" t="s">
        <v>2170</v>
      </c>
      <c r="G1636" t="s">
        <v>1737</v>
      </c>
      <c r="H1636" t="s">
        <v>1799</v>
      </c>
      <c r="I1636" t="s">
        <v>1799</v>
      </c>
      <c r="J1636" t="s">
        <v>1799</v>
      </c>
      <c r="K1636" t="s">
        <v>1799</v>
      </c>
      <c r="L1636" t="s">
        <v>1434</v>
      </c>
      <c r="M1636" t="s">
        <v>1799</v>
      </c>
      <c r="N1636" t="s">
        <v>1799</v>
      </c>
      <c r="O1636" s="184" t="str">
        <f>"["&amp;$C1636&amp;"]["&amp;$D1636&amp;"]["&amp;$F1636&amp;"]"</f>
        <v>[S05_InherentCarbonTransferredDetail][58][TransferType]</v>
      </c>
    </row>
    <row r="1637" spans="1:15" x14ac:dyDescent="0.3">
      <c r="A1637" t="s">
        <v>1793</v>
      </c>
      <c r="B1637" t="s">
        <v>2167</v>
      </c>
      <c r="C1637" t="s">
        <v>2169</v>
      </c>
      <c r="D1637">
        <v>59</v>
      </c>
      <c r="E1637" t="s">
        <v>1447</v>
      </c>
      <c r="F1637" t="s">
        <v>2170</v>
      </c>
      <c r="G1637" t="s">
        <v>1737</v>
      </c>
      <c r="H1637" t="s">
        <v>1799</v>
      </c>
      <c r="I1637" t="s">
        <v>1799</v>
      </c>
      <c r="J1637" t="s">
        <v>1799</v>
      </c>
      <c r="K1637" t="s">
        <v>1799</v>
      </c>
      <c r="L1637" t="s">
        <v>1434</v>
      </c>
      <c r="M1637" t="s">
        <v>1799</v>
      </c>
      <c r="N1637" t="s">
        <v>1799</v>
      </c>
      <c r="O1637" s="184" t="str">
        <f>"["&amp;$C1637&amp;"]["&amp;$D1637&amp;"]["&amp;$F1637&amp;"]"</f>
        <v>[S05_InherentCarbonTransferredDetail][59][TransferType]</v>
      </c>
    </row>
    <row r="1638" spans="1:15" x14ac:dyDescent="0.3">
      <c r="A1638" t="s">
        <v>1793</v>
      </c>
      <c r="B1638" t="s">
        <v>2167</v>
      </c>
      <c r="C1638" t="s">
        <v>2169</v>
      </c>
      <c r="D1638">
        <v>60</v>
      </c>
      <c r="E1638" t="s">
        <v>1447</v>
      </c>
      <c r="F1638" t="s">
        <v>2170</v>
      </c>
      <c r="G1638" t="s">
        <v>1737</v>
      </c>
      <c r="H1638" t="s">
        <v>1799</v>
      </c>
      <c r="I1638" t="s">
        <v>1799</v>
      </c>
      <c r="J1638" t="s">
        <v>1799</v>
      </c>
      <c r="K1638" t="s">
        <v>1799</v>
      </c>
      <c r="L1638" t="s">
        <v>1434</v>
      </c>
      <c r="M1638" t="s">
        <v>1799</v>
      </c>
      <c r="N1638" t="s">
        <v>1799</v>
      </c>
      <c r="O1638" s="184" t="str">
        <f>"["&amp;$C1638&amp;"]["&amp;$D1638&amp;"]["&amp;$F1638&amp;"]"</f>
        <v>[S05_InherentCarbonTransferredDetail][60][TransferType]</v>
      </c>
    </row>
    <row r="1639" spans="1:15" x14ac:dyDescent="0.3">
      <c r="A1639" t="s">
        <v>1793</v>
      </c>
      <c r="B1639" t="s">
        <v>2167</v>
      </c>
      <c r="C1639" t="s">
        <v>2169</v>
      </c>
      <c r="D1639">
        <v>61</v>
      </c>
      <c r="E1639" t="s">
        <v>1447</v>
      </c>
      <c r="F1639" t="s">
        <v>2170</v>
      </c>
      <c r="G1639" t="s">
        <v>1737</v>
      </c>
      <c r="H1639" t="s">
        <v>1799</v>
      </c>
      <c r="I1639" t="s">
        <v>1799</v>
      </c>
      <c r="J1639" t="s">
        <v>1799</v>
      </c>
      <c r="K1639" t="s">
        <v>1799</v>
      </c>
      <c r="L1639" t="s">
        <v>1434</v>
      </c>
      <c r="M1639" t="s">
        <v>1799</v>
      </c>
      <c r="N1639" t="s">
        <v>1799</v>
      </c>
      <c r="O1639" s="184" t="str">
        <f>"["&amp;$C1639&amp;"]["&amp;$D1639&amp;"]["&amp;$F1639&amp;"]"</f>
        <v>[S05_InherentCarbonTransferredDetail][61][TransferType]</v>
      </c>
    </row>
    <row r="1640" spans="1:15" x14ac:dyDescent="0.3">
      <c r="A1640" t="s">
        <v>1793</v>
      </c>
      <c r="B1640" t="s">
        <v>2167</v>
      </c>
      <c r="C1640" t="s">
        <v>2169</v>
      </c>
      <c r="D1640">
        <v>62</v>
      </c>
      <c r="E1640" t="s">
        <v>1447</v>
      </c>
      <c r="F1640" t="s">
        <v>2170</v>
      </c>
      <c r="G1640" t="s">
        <v>1737</v>
      </c>
      <c r="H1640" t="s">
        <v>1799</v>
      </c>
      <c r="I1640" t="s">
        <v>1799</v>
      </c>
      <c r="J1640" t="s">
        <v>1799</v>
      </c>
      <c r="K1640" t="s">
        <v>1799</v>
      </c>
      <c r="L1640" t="s">
        <v>1434</v>
      </c>
      <c r="M1640" t="s">
        <v>1799</v>
      </c>
      <c r="N1640" t="s">
        <v>1799</v>
      </c>
      <c r="O1640" s="184" t="str">
        <f>"["&amp;$C1640&amp;"]["&amp;$D1640&amp;"]["&amp;$F1640&amp;"]"</f>
        <v>[S05_InherentCarbonTransferredDetail][62][TransferType]</v>
      </c>
    </row>
    <row r="1641" spans="1:15" x14ac:dyDescent="0.3">
      <c r="A1641" t="s">
        <v>1793</v>
      </c>
      <c r="B1641" t="s">
        <v>2167</v>
      </c>
      <c r="C1641" t="s">
        <v>2169</v>
      </c>
      <c r="D1641">
        <v>63</v>
      </c>
      <c r="E1641" t="s">
        <v>1447</v>
      </c>
      <c r="F1641" t="s">
        <v>2170</v>
      </c>
      <c r="G1641" t="s">
        <v>1737</v>
      </c>
      <c r="H1641" t="s">
        <v>1799</v>
      </c>
      <c r="I1641" t="s">
        <v>1799</v>
      </c>
      <c r="J1641" t="s">
        <v>1799</v>
      </c>
      <c r="K1641" t="s">
        <v>1799</v>
      </c>
      <c r="L1641" t="s">
        <v>1434</v>
      </c>
      <c r="M1641" t="s">
        <v>1799</v>
      </c>
      <c r="N1641" t="s">
        <v>1799</v>
      </c>
      <c r="O1641" s="184" t="str">
        <f>"["&amp;$C1641&amp;"]["&amp;$D1641&amp;"]["&amp;$F1641&amp;"]"</f>
        <v>[S05_InherentCarbonTransferredDetail][63][TransferType]</v>
      </c>
    </row>
    <row r="1642" spans="1:15" x14ac:dyDescent="0.3">
      <c r="A1642" t="s">
        <v>1793</v>
      </c>
      <c r="B1642" t="s">
        <v>2167</v>
      </c>
      <c r="C1642" t="s">
        <v>2169</v>
      </c>
      <c r="D1642">
        <v>64</v>
      </c>
      <c r="E1642" t="s">
        <v>1447</v>
      </c>
      <c r="F1642" t="s">
        <v>2170</v>
      </c>
      <c r="G1642" t="s">
        <v>1737</v>
      </c>
      <c r="H1642" t="s">
        <v>1799</v>
      </c>
      <c r="I1642" t="s">
        <v>1799</v>
      </c>
      <c r="J1642" t="s">
        <v>1799</v>
      </c>
      <c r="K1642" t="s">
        <v>1799</v>
      </c>
      <c r="L1642" t="s">
        <v>1434</v>
      </c>
      <c r="M1642" t="s">
        <v>1799</v>
      </c>
      <c r="N1642" t="s">
        <v>1799</v>
      </c>
      <c r="O1642" s="184" t="str">
        <f>"["&amp;$C1642&amp;"]["&amp;$D1642&amp;"]["&amp;$F1642&amp;"]"</f>
        <v>[S05_InherentCarbonTransferredDetail][64][TransferType]</v>
      </c>
    </row>
    <row r="1643" spans="1:15" x14ac:dyDescent="0.3">
      <c r="A1643" t="s">
        <v>1793</v>
      </c>
      <c r="B1643" t="s">
        <v>2167</v>
      </c>
      <c r="C1643" t="s">
        <v>2169</v>
      </c>
      <c r="D1643">
        <v>65</v>
      </c>
      <c r="E1643" t="s">
        <v>1447</v>
      </c>
      <c r="F1643" t="s">
        <v>2170</v>
      </c>
      <c r="G1643" t="s">
        <v>1737</v>
      </c>
      <c r="H1643" t="s">
        <v>1799</v>
      </c>
      <c r="I1643" t="s">
        <v>1799</v>
      </c>
      <c r="J1643" t="s">
        <v>1799</v>
      </c>
      <c r="K1643" t="s">
        <v>1799</v>
      </c>
      <c r="L1643" t="s">
        <v>1434</v>
      </c>
      <c r="M1643" t="s">
        <v>1799</v>
      </c>
      <c r="N1643" t="s">
        <v>1799</v>
      </c>
      <c r="O1643" s="184" t="str">
        <f>"["&amp;$C1643&amp;"]["&amp;$D1643&amp;"]["&amp;$F1643&amp;"]"</f>
        <v>[S05_InherentCarbonTransferredDetail][65][TransferType]</v>
      </c>
    </row>
    <row r="1644" spans="1:15" x14ac:dyDescent="0.3">
      <c r="A1644" t="s">
        <v>1793</v>
      </c>
      <c r="B1644" t="s">
        <v>2167</v>
      </c>
      <c r="C1644" t="s">
        <v>2169</v>
      </c>
      <c r="D1644">
        <v>66</v>
      </c>
      <c r="E1644" t="s">
        <v>1447</v>
      </c>
      <c r="F1644" t="s">
        <v>2170</v>
      </c>
      <c r="G1644" t="s">
        <v>1737</v>
      </c>
      <c r="H1644" t="s">
        <v>1799</v>
      </c>
      <c r="I1644" t="s">
        <v>1799</v>
      </c>
      <c r="J1644" t="s">
        <v>1799</v>
      </c>
      <c r="K1644" t="s">
        <v>1799</v>
      </c>
      <c r="L1644" t="s">
        <v>1434</v>
      </c>
      <c r="M1644" t="s">
        <v>1799</v>
      </c>
      <c r="N1644" t="s">
        <v>1799</v>
      </c>
      <c r="O1644" s="184" t="str">
        <f>"["&amp;$C1644&amp;"]["&amp;$D1644&amp;"]["&amp;$F1644&amp;"]"</f>
        <v>[S05_InherentCarbonTransferredDetail][66][TransferType]</v>
      </c>
    </row>
    <row r="1645" spans="1:15" x14ac:dyDescent="0.3">
      <c r="A1645" t="s">
        <v>1793</v>
      </c>
      <c r="B1645" t="s">
        <v>2167</v>
      </c>
      <c r="C1645" t="s">
        <v>2169</v>
      </c>
      <c r="D1645">
        <v>67</v>
      </c>
      <c r="E1645" t="s">
        <v>1447</v>
      </c>
      <c r="F1645" t="s">
        <v>2170</v>
      </c>
      <c r="G1645" t="s">
        <v>1737</v>
      </c>
      <c r="H1645" t="s">
        <v>1799</v>
      </c>
      <c r="I1645" t="s">
        <v>1799</v>
      </c>
      <c r="J1645" t="s">
        <v>1799</v>
      </c>
      <c r="K1645" t="s">
        <v>1799</v>
      </c>
      <c r="L1645" t="s">
        <v>1434</v>
      </c>
      <c r="M1645" t="s">
        <v>1799</v>
      </c>
      <c r="N1645" t="s">
        <v>1799</v>
      </c>
      <c r="O1645" s="184" t="str">
        <f>"["&amp;$C1645&amp;"]["&amp;$D1645&amp;"]["&amp;$F1645&amp;"]"</f>
        <v>[S05_InherentCarbonTransferredDetail][67][TransferType]</v>
      </c>
    </row>
    <row r="1646" spans="1:15" x14ac:dyDescent="0.3">
      <c r="A1646" t="s">
        <v>1793</v>
      </c>
      <c r="B1646" t="s">
        <v>2167</v>
      </c>
      <c r="C1646" t="s">
        <v>2169</v>
      </c>
      <c r="D1646">
        <v>68</v>
      </c>
      <c r="E1646" t="s">
        <v>1447</v>
      </c>
      <c r="F1646" t="s">
        <v>2170</v>
      </c>
      <c r="G1646" t="s">
        <v>1737</v>
      </c>
      <c r="H1646" t="s">
        <v>1799</v>
      </c>
      <c r="I1646" t="s">
        <v>1799</v>
      </c>
      <c r="J1646" t="s">
        <v>1799</v>
      </c>
      <c r="K1646" t="s">
        <v>1799</v>
      </c>
      <c r="L1646" t="s">
        <v>1434</v>
      </c>
      <c r="M1646" t="s">
        <v>1799</v>
      </c>
      <c r="N1646" t="s">
        <v>1799</v>
      </c>
      <c r="O1646" s="184" t="str">
        <f>"["&amp;$C1646&amp;"]["&amp;$D1646&amp;"]["&amp;$F1646&amp;"]"</f>
        <v>[S05_InherentCarbonTransferredDetail][68][TransferType]</v>
      </c>
    </row>
    <row r="1647" spans="1:15" x14ac:dyDescent="0.3">
      <c r="A1647" t="s">
        <v>1793</v>
      </c>
      <c r="B1647" t="s">
        <v>2167</v>
      </c>
      <c r="C1647" t="s">
        <v>2169</v>
      </c>
      <c r="D1647">
        <v>69</v>
      </c>
      <c r="E1647" t="s">
        <v>1447</v>
      </c>
      <c r="F1647" t="s">
        <v>2170</v>
      </c>
      <c r="G1647" t="s">
        <v>1737</v>
      </c>
      <c r="H1647" t="s">
        <v>1799</v>
      </c>
      <c r="I1647" t="s">
        <v>1799</v>
      </c>
      <c r="J1647" t="s">
        <v>1799</v>
      </c>
      <c r="K1647" t="s">
        <v>1799</v>
      </c>
      <c r="L1647" t="s">
        <v>1434</v>
      </c>
      <c r="M1647" t="s">
        <v>1799</v>
      </c>
      <c r="N1647" t="s">
        <v>1799</v>
      </c>
      <c r="O1647" s="184" t="str">
        <f>"["&amp;$C1647&amp;"]["&amp;$D1647&amp;"]["&amp;$F1647&amp;"]"</f>
        <v>[S05_InherentCarbonTransferredDetail][69][TransferType]</v>
      </c>
    </row>
    <row r="1648" spans="1:15" x14ac:dyDescent="0.3">
      <c r="A1648" t="s">
        <v>1793</v>
      </c>
      <c r="B1648" t="s">
        <v>2167</v>
      </c>
      <c r="C1648" t="s">
        <v>2169</v>
      </c>
      <c r="D1648">
        <v>70</v>
      </c>
      <c r="E1648" t="s">
        <v>1447</v>
      </c>
      <c r="F1648" t="s">
        <v>2170</v>
      </c>
      <c r="G1648" t="s">
        <v>1737</v>
      </c>
      <c r="H1648" t="s">
        <v>1799</v>
      </c>
      <c r="I1648" t="s">
        <v>1799</v>
      </c>
      <c r="J1648" t="s">
        <v>1799</v>
      </c>
      <c r="K1648" t="s">
        <v>1799</v>
      </c>
      <c r="L1648" t="s">
        <v>1434</v>
      </c>
      <c r="M1648" t="s">
        <v>1799</v>
      </c>
      <c r="N1648" t="s">
        <v>1799</v>
      </c>
      <c r="O1648" s="184" t="str">
        <f>"["&amp;$C1648&amp;"]["&amp;$D1648&amp;"]["&amp;$F1648&amp;"]"</f>
        <v>[S05_InherentCarbonTransferredDetail][70][TransferType]</v>
      </c>
    </row>
    <row r="1649" spans="1:15" x14ac:dyDescent="0.3">
      <c r="A1649" t="s">
        <v>1793</v>
      </c>
      <c r="B1649" t="s">
        <v>2167</v>
      </c>
      <c r="C1649" t="s">
        <v>2169</v>
      </c>
      <c r="D1649">
        <v>71</v>
      </c>
      <c r="E1649" t="s">
        <v>1447</v>
      </c>
      <c r="F1649" t="s">
        <v>2170</v>
      </c>
      <c r="G1649" t="s">
        <v>1737</v>
      </c>
      <c r="H1649" t="s">
        <v>1799</v>
      </c>
      <c r="I1649" t="s">
        <v>1799</v>
      </c>
      <c r="J1649" t="s">
        <v>1799</v>
      </c>
      <c r="K1649" t="s">
        <v>1799</v>
      </c>
      <c r="L1649" t="s">
        <v>1434</v>
      </c>
      <c r="M1649" t="s">
        <v>1799</v>
      </c>
      <c r="N1649" t="s">
        <v>1799</v>
      </c>
      <c r="O1649" s="184" t="str">
        <f>"["&amp;$C1649&amp;"]["&amp;$D1649&amp;"]["&amp;$F1649&amp;"]"</f>
        <v>[S05_InherentCarbonTransferredDetail][71][TransferType]</v>
      </c>
    </row>
    <row r="1650" spans="1:15" x14ac:dyDescent="0.3">
      <c r="A1650" t="s">
        <v>1793</v>
      </c>
      <c r="B1650" t="s">
        <v>2167</v>
      </c>
      <c r="C1650" t="s">
        <v>2169</v>
      </c>
      <c r="D1650">
        <v>72</v>
      </c>
      <c r="E1650" t="s">
        <v>1447</v>
      </c>
      <c r="F1650" t="s">
        <v>2170</v>
      </c>
      <c r="G1650" t="s">
        <v>1737</v>
      </c>
      <c r="H1650" t="s">
        <v>1799</v>
      </c>
      <c r="I1650" t="s">
        <v>1799</v>
      </c>
      <c r="J1650" t="s">
        <v>1799</v>
      </c>
      <c r="K1650" t="s">
        <v>1799</v>
      </c>
      <c r="L1650" t="s">
        <v>1434</v>
      </c>
      <c r="M1650" t="s">
        <v>1799</v>
      </c>
      <c r="N1650" t="s">
        <v>1799</v>
      </c>
      <c r="O1650" s="184" t="str">
        <f>"["&amp;$C1650&amp;"]["&amp;$D1650&amp;"]["&amp;$F1650&amp;"]"</f>
        <v>[S05_InherentCarbonTransferredDetail][72][TransferType]</v>
      </c>
    </row>
    <row r="1651" spans="1:15" x14ac:dyDescent="0.3">
      <c r="A1651" t="s">
        <v>1793</v>
      </c>
      <c r="B1651" t="s">
        <v>2167</v>
      </c>
      <c r="C1651" t="s">
        <v>2169</v>
      </c>
      <c r="D1651">
        <v>73</v>
      </c>
      <c r="E1651" t="s">
        <v>1447</v>
      </c>
      <c r="F1651" t="s">
        <v>2170</v>
      </c>
      <c r="G1651" t="s">
        <v>1737</v>
      </c>
      <c r="H1651" t="s">
        <v>1799</v>
      </c>
      <c r="I1651" t="s">
        <v>1799</v>
      </c>
      <c r="J1651" t="s">
        <v>1799</v>
      </c>
      <c r="K1651" t="s">
        <v>1799</v>
      </c>
      <c r="L1651" t="s">
        <v>1434</v>
      </c>
      <c r="M1651" t="s">
        <v>1799</v>
      </c>
      <c r="N1651" t="s">
        <v>1799</v>
      </c>
      <c r="O1651" s="184" t="str">
        <f>"["&amp;$C1651&amp;"]["&amp;$D1651&amp;"]["&amp;$F1651&amp;"]"</f>
        <v>[S05_InherentCarbonTransferredDetail][73][TransferType]</v>
      </c>
    </row>
    <row r="1652" spans="1:15" x14ac:dyDescent="0.3">
      <c r="A1652" t="s">
        <v>1793</v>
      </c>
      <c r="B1652" t="s">
        <v>2167</v>
      </c>
      <c r="C1652" t="s">
        <v>2169</v>
      </c>
      <c r="D1652">
        <v>74</v>
      </c>
      <c r="E1652" t="s">
        <v>1447</v>
      </c>
      <c r="F1652" t="s">
        <v>2170</v>
      </c>
      <c r="G1652" t="s">
        <v>1737</v>
      </c>
      <c r="H1652" t="s">
        <v>1799</v>
      </c>
      <c r="I1652" t="s">
        <v>1799</v>
      </c>
      <c r="J1652" t="s">
        <v>1799</v>
      </c>
      <c r="K1652" t="s">
        <v>1799</v>
      </c>
      <c r="L1652" t="s">
        <v>1434</v>
      </c>
      <c r="M1652" t="s">
        <v>1799</v>
      </c>
      <c r="N1652" t="s">
        <v>1799</v>
      </c>
      <c r="O1652" s="184" t="str">
        <f>"["&amp;$C1652&amp;"]["&amp;$D1652&amp;"]["&amp;$F1652&amp;"]"</f>
        <v>[S05_InherentCarbonTransferredDetail][74][TransferType]</v>
      </c>
    </row>
    <row r="1653" spans="1:15" x14ac:dyDescent="0.3">
      <c r="A1653" t="s">
        <v>1793</v>
      </c>
      <c r="B1653" t="s">
        <v>2167</v>
      </c>
      <c r="C1653" t="s">
        <v>2169</v>
      </c>
      <c r="D1653">
        <v>75</v>
      </c>
      <c r="E1653" t="s">
        <v>1447</v>
      </c>
      <c r="F1653" t="s">
        <v>2170</v>
      </c>
      <c r="G1653" t="s">
        <v>1737</v>
      </c>
      <c r="H1653" t="s">
        <v>1799</v>
      </c>
      <c r="I1653" t="s">
        <v>1799</v>
      </c>
      <c r="J1653" t="s">
        <v>1799</v>
      </c>
      <c r="K1653" t="s">
        <v>1799</v>
      </c>
      <c r="L1653" t="s">
        <v>1434</v>
      </c>
      <c r="M1653" t="s">
        <v>1799</v>
      </c>
      <c r="N1653" t="s">
        <v>1799</v>
      </c>
      <c r="O1653" s="184" t="str">
        <f>"["&amp;$C1653&amp;"]["&amp;$D1653&amp;"]["&amp;$F1653&amp;"]"</f>
        <v>[S05_InherentCarbonTransferredDetail][75][TransferType]</v>
      </c>
    </row>
    <row r="1654" spans="1:15" x14ac:dyDescent="0.3">
      <c r="A1654" t="s">
        <v>1793</v>
      </c>
      <c r="B1654" t="s">
        <v>2167</v>
      </c>
      <c r="C1654" t="s">
        <v>2169</v>
      </c>
      <c r="D1654">
        <v>76</v>
      </c>
      <c r="E1654" t="s">
        <v>1447</v>
      </c>
      <c r="F1654" t="s">
        <v>2170</v>
      </c>
      <c r="G1654" t="s">
        <v>1737</v>
      </c>
      <c r="H1654" t="s">
        <v>1799</v>
      </c>
      <c r="I1654" t="s">
        <v>1799</v>
      </c>
      <c r="J1654" t="s">
        <v>1799</v>
      </c>
      <c r="K1654" t="s">
        <v>1799</v>
      </c>
      <c r="L1654" t="s">
        <v>1434</v>
      </c>
      <c r="M1654" t="s">
        <v>1799</v>
      </c>
      <c r="N1654" t="s">
        <v>1799</v>
      </c>
      <c r="O1654" s="184" t="str">
        <f>"["&amp;$C1654&amp;"]["&amp;$D1654&amp;"]["&amp;$F1654&amp;"]"</f>
        <v>[S05_InherentCarbonTransferredDetail][76][TransferType]</v>
      </c>
    </row>
    <row r="1655" spans="1:15" x14ac:dyDescent="0.3">
      <c r="A1655" t="s">
        <v>1793</v>
      </c>
      <c r="B1655" t="s">
        <v>2167</v>
      </c>
      <c r="C1655" t="s">
        <v>2169</v>
      </c>
      <c r="D1655">
        <v>77</v>
      </c>
      <c r="E1655" t="s">
        <v>1447</v>
      </c>
      <c r="F1655" t="s">
        <v>2170</v>
      </c>
      <c r="G1655" t="s">
        <v>1737</v>
      </c>
      <c r="H1655" t="s">
        <v>1799</v>
      </c>
      <c r="I1655" t="s">
        <v>1799</v>
      </c>
      <c r="J1655" t="s">
        <v>1799</v>
      </c>
      <c r="K1655" t="s">
        <v>1799</v>
      </c>
      <c r="L1655" t="s">
        <v>1434</v>
      </c>
      <c r="M1655" t="s">
        <v>1799</v>
      </c>
      <c r="N1655" t="s">
        <v>1799</v>
      </c>
      <c r="O1655" s="184" t="str">
        <f>"["&amp;$C1655&amp;"]["&amp;$D1655&amp;"]["&amp;$F1655&amp;"]"</f>
        <v>[S05_InherentCarbonTransferredDetail][77][TransferType]</v>
      </c>
    </row>
    <row r="1656" spans="1:15" x14ac:dyDescent="0.3">
      <c r="A1656" t="s">
        <v>1793</v>
      </c>
      <c r="B1656" t="s">
        <v>2167</v>
      </c>
      <c r="C1656" t="s">
        <v>2169</v>
      </c>
      <c r="D1656">
        <v>78</v>
      </c>
      <c r="E1656" t="s">
        <v>1447</v>
      </c>
      <c r="F1656" t="s">
        <v>2170</v>
      </c>
      <c r="G1656" t="s">
        <v>1737</v>
      </c>
      <c r="H1656" t="s">
        <v>1799</v>
      </c>
      <c r="I1656" t="s">
        <v>1799</v>
      </c>
      <c r="J1656" t="s">
        <v>1799</v>
      </c>
      <c r="K1656" t="s">
        <v>1799</v>
      </c>
      <c r="L1656" t="s">
        <v>1434</v>
      </c>
      <c r="M1656" t="s">
        <v>1799</v>
      </c>
      <c r="N1656" t="s">
        <v>1799</v>
      </c>
      <c r="O1656" s="184" t="str">
        <f>"["&amp;$C1656&amp;"]["&amp;$D1656&amp;"]["&amp;$F1656&amp;"]"</f>
        <v>[S05_InherentCarbonTransferredDetail][78][TransferType]</v>
      </c>
    </row>
    <row r="1657" spans="1:15" x14ac:dyDescent="0.3">
      <c r="A1657" t="s">
        <v>1793</v>
      </c>
      <c r="B1657" t="s">
        <v>2167</v>
      </c>
      <c r="C1657" t="s">
        <v>2169</v>
      </c>
      <c r="D1657">
        <v>79</v>
      </c>
      <c r="E1657" t="s">
        <v>1447</v>
      </c>
      <c r="F1657" t="s">
        <v>2170</v>
      </c>
      <c r="G1657" t="s">
        <v>1737</v>
      </c>
      <c r="H1657" t="s">
        <v>1799</v>
      </c>
      <c r="I1657" t="s">
        <v>1799</v>
      </c>
      <c r="J1657" t="s">
        <v>1799</v>
      </c>
      <c r="K1657" t="s">
        <v>1799</v>
      </c>
      <c r="L1657" t="s">
        <v>1434</v>
      </c>
      <c r="M1657" t="s">
        <v>1799</v>
      </c>
      <c r="N1657" t="s">
        <v>1799</v>
      </c>
      <c r="O1657" s="184" t="str">
        <f>"["&amp;$C1657&amp;"]["&amp;$D1657&amp;"]["&amp;$F1657&amp;"]"</f>
        <v>[S05_InherentCarbonTransferredDetail][79][TransferType]</v>
      </c>
    </row>
    <row r="1658" spans="1:15" x14ac:dyDescent="0.3">
      <c r="A1658" t="s">
        <v>1793</v>
      </c>
      <c r="B1658" t="s">
        <v>2167</v>
      </c>
      <c r="C1658" t="s">
        <v>2169</v>
      </c>
      <c r="D1658">
        <v>80</v>
      </c>
      <c r="E1658" t="s">
        <v>1447</v>
      </c>
      <c r="F1658" t="s">
        <v>2170</v>
      </c>
      <c r="G1658" t="s">
        <v>1737</v>
      </c>
      <c r="H1658" t="s">
        <v>1799</v>
      </c>
      <c r="I1658" t="s">
        <v>1799</v>
      </c>
      <c r="J1658" t="s">
        <v>1799</v>
      </c>
      <c r="K1658" t="s">
        <v>1799</v>
      </c>
      <c r="L1658" t="s">
        <v>1434</v>
      </c>
      <c r="M1658" t="s">
        <v>1799</v>
      </c>
      <c r="N1658" t="s">
        <v>1799</v>
      </c>
      <c r="O1658" s="184" t="str">
        <f>"["&amp;$C1658&amp;"]["&amp;$D1658&amp;"]["&amp;$F1658&amp;"]"</f>
        <v>[S05_InherentCarbonTransferredDetail][80][TransferType]</v>
      </c>
    </row>
    <row r="1659" spans="1:15" x14ac:dyDescent="0.3">
      <c r="A1659" t="s">
        <v>1793</v>
      </c>
      <c r="B1659" t="s">
        <v>2167</v>
      </c>
      <c r="C1659" t="s">
        <v>2169</v>
      </c>
      <c r="D1659">
        <v>81</v>
      </c>
      <c r="E1659" t="s">
        <v>1447</v>
      </c>
      <c r="F1659" t="s">
        <v>2170</v>
      </c>
      <c r="G1659" t="s">
        <v>1737</v>
      </c>
      <c r="H1659" t="s">
        <v>1799</v>
      </c>
      <c r="I1659" t="s">
        <v>1799</v>
      </c>
      <c r="J1659" t="s">
        <v>1799</v>
      </c>
      <c r="K1659" t="s">
        <v>1799</v>
      </c>
      <c r="L1659" t="s">
        <v>1434</v>
      </c>
      <c r="M1659" t="s">
        <v>1799</v>
      </c>
      <c r="N1659" t="s">
        <v>1799</v>
      </c>
      <c r="O1659" s="184" t="str">
        <f>"["&amp;$C1659&amp;"]["&amp;$D1659&amp;"]["&amp;$F1659&amp;"]"</f>
        <v>[S05_InherentCarbonTransferredDetail][81][TransferType]</v>
      </c>
    </row>
    <row r="1660" spans="1:15" x14ac:dyDescent="0.3">
      <c r="A1660" t="s">
        <v>1793</v>
      </c>
      <c r="B1660" t="s">
        <v>2167</v>
      </c>
      <c r="C1660" t="s">
        <v>2169</v>
      </c>
      <c r="D1660">
        <v>82</v>
      </c>
      <c r="E1660" t="s">
        <v>1447</v>
      </c>
      <c r="F1660" t="s">
        <v>2170</v>
      </c>
      <c r="G1660" t="s">
        <v>1737</v>
      </c>
      <c r="H1660" t="s">
        <v>1799</v>
      </c>
      <c r="I1660" t="s">
        <v>1799</v>
      </c>
      <c r="J1660" t="s">
        <v>1799</v>
      </c>
      <c r="K1660" t="s">
        <v>1799</v>
      </c>
      <c r="L1660" t="s">
        <v>1434</v>
      </c>
      <c r="M1660" t="s">
        <v>1799</v>
      </c>
      <c r="N1660" t="s">
        <v>1799</v>
      </c>
      <c r="O1660" s="184" t="str">
        <f>"["&amp;$C1660&amp;"]["&amp;$D1660&amp;"]["&amp;$F1660&amp;"]"</f>
        <v>[S05_InherentCarbonTransferredDetail][82][TransferType]</v>
      </c>
    </row>
    <row r="1661" spans="1:15" x14ac:dyDescent="0.3">
      <c r="A1661" t="s">
        <v>1793</v>
      </c>
      <c r="B1661" t="s">
        <v>2167</v>
      </c>
      <c r="C1661" t="s">
        <v>2169</v>
      </c>
      <c r="D1661">
        <v>1</v>
      </c>
      <c r="E1661" t="s">
        <v>1447</v>
      </c>
      <c r="F1661" t="s">
        <v>2171</v>
      </c>
      <c r="G1661" t="s">
        <v>1797</v>
      </c>
      <c r="H1661" t="s">
        <v>2172</v>
      </c>
      <c r="I1661" t="s">
        <v>1799</v>
      </c>
      <c r="J1661" t="s">
        <v>1799</v>
      </c>
      <c r="K1661" t="s">
        <v>1799</v>
      </c>
      <c r="L1661" t="s">
        <v>1799</v>
      </c>
      <c r="M1661" t="s">
        <v>1799</v>
      </c>
      <c r="N1661" t="s">
        <v>1799</v>
      </c>
      <c r="O1661" s="184" t="str">
        <f>"["&amp;$C1661&amp;"]["&amp;$D1661&amp;"]["&amp;$F1661&amp;"]"</f>
        <v>[S05_InherentCarbonTransferredDetail][1][InstallationIdTransferring]</v>
      </c>
    </row>
    <row r="1662" spans="1:15" x14ac:dyDescent="0.3">
      <c r="A1662" t="s">
        <v>1793</v>
      </c>
      <c r="B1662" t="s">
        <v>2167</v>
      </c>
      <c r="C1662" t="s">
        <v>2169</v>
      </c>
      <c r="D1662">
        <v>2</v>
      </c>
      <c r="E1662" t="s">
        <v>1447</v>
      </c>
      <c r="F1662" t="s">
        <v>2171</v>
      </c>
      <c r="G1662" t="s">
        <v>1797</v>
      </c>
      <c r="H1662" t="s">
        <v>2173</v>
      </c>
      <c r="I1662" t="s">
        <v>1799</v>
      </c>
      <c r="J1662" t="s">
        <v>1799</v>
      </c>
      <c r="K1662" t="s">
        <v>1799</v>
      </c>
      <c r="L1662" t="s">
        <v>1799</v>
      </c>
      <c r="M1662" t="s">
        <v>1799</v>
      </c>
      <c r="N1662" t="s">
        <v>1799</v>
      </c>
      <c r="O1662" s="184" t="str">
        <f>"["&amp;$C1662&amp;"]["&amp;$D1662&amp;"]["&amp;$F1662&amp;"]"</f>
        <v>[S05_InherentCarbonTransferredDetail][2][InstallationIdTransferring]</v>
      </c>
    </row>
    <row r="1663" spans="1:15" x14ac:dyDescent="0.3">
      <c r="A1663" t="s">
        <v>1793</v>
      </c>
      <c r="B1663" t="s">
        <v>2167</v>
      </c>
      <c r="C1663" t="s">
        <v>2169</v>
      </c>
      <c r="D1663">
        <v>3</v>
      </c>
      <c r="E1663" t="s">
        <v>1447</v>
      </c>
      <c r="F1663" t="s">
        <v>2171</v>
      </c>
      <c r="G1663" t="s">
        <v>1797</v>
      </c>
      <c r="H1663" t="s">
        <v>2174</v>
      </c>
      <c r="I1663" t="s">
        <v>1799</v>
      </c>
      <c r="J1663" t="s">
        <v>1799</v>
      </c>
      <c r="K1663" t="s">
        <v>1799</v>
      </c>
      <c r="L1663" t="s">
        <v>1799</v>
      </c>
      <c r="M1663" t="s">
        <v>1799</v>
      </c>
      <c r="N1663" t="s">
        <v>1799</v>
      </c>
      <c r="O1663" s="184" t="str">
        <f>"["&amp;$C1663&amp;"]["&amp;$D1663&amp;"]["&amp;$F1663&amp;"]"</f>
        <v>[S05_InherentCarbonTransferredDetail][3][InstallationIdTransferring]</v>
      </c>
    </row>
    <row r="1664" spans="1:15" x14ac:dyDescent="0.3">
      <c r="A1664" t="s">
        <v>1793</v>
      </c>
      <c r="B1664" t="s">
        <v>2167</v>
      </c>
      <c r="C1664" t="s">
        <v>2169</v>
      </c>
      <c r="D1664">
        <v>4</v>
      </c>
      <c r="E1664" t="s">
        <v>1447</v>
      </c>
      <c r="F1664" t="s">
        <v>2171</v>
      </c>
      <c r="G1664" t="s">
        <v>1797</v>
      </c>
      <c r="H1664" t="s">
        <v>2175</v>
      </c>
      <c r="I1664" t="s">
        <v>1799</v>
      </c>
      <c r="J1664" t="s">
        <v>1799</v>
      </c>
      <c r="K1664" t="s">
        <v>1799</v>
      </c>
      <c r="L1664" t="s">
        <v>1799</v>
      </c>
      <c r="M1664" t="s">
        <v>1799</v>
      </c>
      <c r="N1664" t="s">
        <v>1799</v>
      </c>
      <c r="O1664" s="184" t="str">
        <f>"["&amp;$C1664&amp;"]["&amp;$D1664&amp;"]["&amp;$F1664&amp;"]"</f>
        <v>[S05_InherentCarbonTransferredDetail][4][InstallationIdTransferring]</v>
      </c>
    </row>
    <row r="1665" spans="1:15" x14ac:dyDescent="0.3">
      <c r="A1665" t="s">
        <v>1793</v>
      </c>
      <c r="B1665" t="s">
        <v>2167</v>
      </c>
      <c r="C1665" t="s">
        <v>2169</v>
      </c>
      <c r="D1665">
        <v>5</v>
      </c>
      <c r="E1665" t="s">
        <v>1447</v>
      </c>
      <c r="F1665" t="s">
        <v>2171</v>
      </c>
      <c r="G1665" t="s">
        <v>1797</v>
      </c>
      <c r="H1665" t="s">
        <v>2176</v>
      </c>
      <c r="I1665" t="s">
        <v>1799</v>
      </c>
      <c r="J1665" t="s">
        <v>1799</v>
      </c>
      <c r="K1665" t="s">
        <v>1799</v>
      </c>
      <c r="L1665" t="s">
        <v>1799</v>
      </c>
      <c r="M1665" t="s">
        <v>1799</v>
      </c>
      <c r="N1665" t="s">
        <v>1799</v>
      </c>
      <c r="O1665" s="184" t="str">
        <f>"["&amp;$C1665&amp;"]["&amp;$D1665&amp;"]["&amp;$F1665&amp;"]"</f>
        <v>[S05_InherentCarbonTransferredDetail][5][InstallationIdTransferring]</v>
      </c>
    </row>
    <row r="1666" spans="1:15" x14ac:dyDescent="0.3">
      <c r="A1666" t="s">
        <v>1793</v>
      </c>
      <c r="B1666" t="s">
        <v>2167</v>
      </c>
      <c r="C1666" t="s">
        <v>2169</v>
      </c>
      <c r="D1666">
        <v>6</v>
      </c>
      <c r="E1666" t="s">
        <v>1447</v>
      </c>
      <c r="F1666" t="s">
        <v>2171</v>
      </c>
      <c r="G1666" t="s">
        <v>1797</v>
      </c>
      <c r="H1666" t="s">
        <v>2177</v>
      </c>
      <c r="I1666" t="s">
        <v>1799</v>
      </c>
      <c r="J1666" t="s">
        <v>1799</v>
      </c>
      <c r="K1666" t="s">
        <v>1799</v>
      </c>
      <c r="L1666" t="s">
        <v>1799</v>
      </c>
      <c r="M1666" t="s">
        <v>1799</v>
      </c>
      <c r="N1666" t="s">
        <v>1799</v>
      </c>
      <c r="O1666" s="184" t="str">
        <f>"["&amp;$C1666&amp;"]["&amp;$D1666&amp;"]["&amp;$F1666&amp;"]"</f>
        <v>[S05_InherentCarbonTransferredDetail][6][InstallationIdTransferring]</v>
      </c>
    </row>
    <row r="1667" spans="1:15" x14ac:dyDescent="0.3">
      <c r="A1667" t="s">
        <v>1793</v>
      </c>
      <c r="B1667" t="s">
        <v>2167</v>
      </c>
      <c r="C1667" t="s">
        <v>2169</v>
      </c>
      <c r="D1667">
        <v>7</v>
      </c>
      <c r="E1667" t="s">
        <v>1447</v>
      </c>
      <c r="F1667" t="s">
        <v>2171</v>
      </c>
      <c r="G1667" t="s">
        <v>1797</v>
      </c>
      <c r="H1667" t="s">
        <v>2093</v>
      </c>
      <c r="I1667" t="s">
        <v>1799</v>
      </c>
      <c r="J1667" t="s">
        <v>1799</v>
      </c>
      <c r="K1667" t="s">
        <v>1799</v>
      </c>
      <c r="L1667" t="s">
        <v>1799</v>
      </c>
      <c r="M1667" t="s">
        <v>1799</v>
      </c>
      <c r="N1667" t="s">
        <v>1799</v>
      </c>
      <c r="O1667" s="184" t="str">
        <f>"["&amp;$C1667&amp;"]["&amp;$D1667&amp;"]["&amp;$F1667&amp;"]"</f>
        <v>[S05_InherentCarbonTransferredDetail][7][InstallationIdTransferring]</v>
      </c>
    </row>
    <row r="1668" spans="1:15" x14ac:dyDescent="0.3">
      <c r="A1668" t="s">
        <v>1793</v>
      </c>
      <c r="B1668" t="s">
        <v>2167</v>
      </c>
      <c r="C1668" t="s">
        <v>2169</v>
      </c>
      <c r="D1668">
        <v>8</v>
      </c>
      <c r="E1668" t="s">
        <v>1447</v>
      </c>
      <c r="F1668" t="s">
        <v>2171</v>
      </c>
      <c r="G1668" t="s">
        <v>1797</v>
      </c>
      <c r="H1668" t="s">
        <v>2097</v>
      </c>
      <c r="I1668" t="s">
        <v>1799</v>
      </c>
      <c r="J1668" t="s">
        <v>1799</v>
      </c>
      <c r="K1668" t="s">
        <v>1799</v>
      </c>
      <c r="L1668" t="s">
        <v>1799</v>
      </c>
      <c r="M1668" t="s">
        <v>1799</v>
      </c>
      <c r="N1668" t="s">
        <v>1799</v>
      </c>
      <c r="O1668" s="184" t="str">
        <f>"["&amp;$C1668&amp;"]["&amp;$D1668&amp;"]["&amp;$F1668&amp;"]"</f>
        <v>[S05_InherentCarbonTransferredDetail][8][InstallationIdTransferring]</v>
      </c>
    </row>
    <row r="1669" spans="1:15" x14ac:dyDescent="0.3">
      <c r="A1669" t="s">
        <v>1793</v>
      </c>
      <c r="B1669" t="s">
        <v>2167</v>
      </c>
      <c r="C1669" t="s">
        <v>2169</v>
      </c>
      <c r="D1669">
        <v>9</v>
      </c>
      <c r="E1669" t="s">
        <v>1447</v>
      </c>
      <c r="F1669" t="s">
        <v>2171</v>
      </c>
      <c r="G1669" t="s">
        <v>1797</v>
      </c>
      <c r="H1669" t="s">
        <v>2097</v>
      </c>
      <c r="I1669" t="s">
        <v>1799</v>
      </c>
      <c r="J1669" t="s">
        <v>1799</v>
      </c>
      <c r="K1669" t="s">
        <v>1799</v>
      </c>
      <c r="L1669" t="s">
        <v>1799</v>
      </c>
      <c r="M1669" t="s">
        <v>1799</v>
      </c>
      <c r="N1669" t="s">
        <v>1799</v>
      </c>
      <c r="O1669" s="184" t="str">
        <f>"["&amp;$C1669&amp;"]["&amp;$D1669&amp;"]["&amp;$F1669&amp;"]"</f>
        <v>[S05_InherentCarbonTransferredDetail][9][InstallationIdTransferring]</v>
      </c>
    </row>
    <row r="1670" spans="1:15" x14ac:dyDescent="0.3">
      <c r="A1670" t="s">
        <v>1793</v>
      </c>
      <c r="B1670" t="s">
        <v>2167</v>
      </c>
      <c r="C1670" t="s">
        <v>2169</v>
      </c>
      <c r="D1670">
        <v>10</v>
      </c>
      <c r="E1670" t="s">
        <v>1447</v>
      </c>
      <c r="F1670" t="s">
        <v>2171</v>
      </c>
      <c r="G1670" t="s">
        <v>1797</v>
      </c>
      <c r="H1670" t="s">
        <v>2178</v>
      </c>
      <c r="I1670" t="s">
        <v>1799</v>
      </c>
      <c r="J1670" t="s">
        <v>1799</v>
      </c>
      <c r="K1670" t="s">
        <v>1799</v>
      </c>
      <c r="L1670" t="s">
        <v>1799</v>
      </c>
      <c r="M1670" t="s">
        <v>1799</v>
      </c>
      <c r="N1670" t="s">
        <v>1799</v>
      </c>
      <c r="O1670" s="184" t="str">
        <f>"["&amp;$C1670&amp;"]["&amp;$D1670&amp;"]["&amp;$F1670&amp;"]"</f>
        <v>[S05_InherentCarbonTransferredDetail][10][InstallationIdTransferring]</v>
      </c>
    </row>
    <row r="1671" spans="1:15" x14ac:dyDescent="0.3">
      <c r="A1671" t="s">
        <v>1793</v>
      </c>
      <c r="B1671" t="s">
        <v>2167</v>
      </c>
      <c r="C1671" t="s">
        <v>2169</v>
      </c>
      <c r="D1671">
        <v>11</v>
      </c>
      <c r="E1671" t="s">
        <v>1447</v>
      </c>
      <c r="F1671" t="s">
        <v>2171</v>
      </c>
      <c r="G1671" t="s">
        <v>1797</v>
      </c>
      <c r="H1671" t="s">
        <v>2099</v>
      </c>
      <c r="I1671" t="s">
        <v>1799</v>
      </c>
      <c r="J1671" t="s">
        <v>1799</v>
      </c>
      <c r="K1671" t="s">
        <v>1799</v>
      </c>
      <c r="L1671" t="s">
        <v>1799</v>
      </c>
      <c r="M1671" t="s">
        <v>1799</v>
      </c>
      <c r="N1671" t="s">
        <v>1799</v>
      </c>
      <c r="O1671" s="184" t="str">
        <f>"["&amp;$C1671&amp;"]["&amp;$D1671&amp;"]["&amp;$F1671&amp;"]"</f>
        <v>[S05_InherentCarbonTransferredDetail][11][InstallationIdTransferring]</v>
      </c>
    </row>
    <row r="1672" spans="1:15" x14ac:dyDescent="0.3">
      <c r="A1672" t="s">
        <v>1793</v>
      </c>
      <c r="B1672" t="s">
        <v>2167</v>
      </c>
      <c r="C1672" t="s">
        <v>2169</v>
      </c>
      <c r="D1672">
        <v>12</v>
      </c>
      <c r="E1672" t="s">
        <v>1447</v>
      </c>
      <c r="F1672" t="s">
        <v>2171</v>
      </c>
      <c r="G1672" t="s">
        <v>1797</v>
      </c>
      <c r="H1672" t="s">
        <v>2099</v>
      </c>
      <c r="I1672" t="s">
        <v>1799</v>
      </c>
      <c r="J1672" t="s">
        <v>1799</v>
      </c>
      <c r="K1672" t="s">
        <v>1799</v>
      </c>
      <c r="L1672" t="s">
        <v>1799</v>
      </c>
      <c r="M1672" t="s">
        <v>1799</v>
      </c>
      <c r="N1672" t="s">
        <v>1799</v>
      </c>
      <c r="O1672" s="184" t="str">
        <f>"["&amp;$C1672&amp;"]["&amp;$D1672&amp;"]["&amp;$F1672&amp;"]"</f>
        <v>[S05_InherentCarbonTransferredDetail][12][InstallationIdTransferring]</v>
      </c>
    </row>
    <row r="1673" spans="1:15" x14ac:dyDescent="0.3">
      <c r="A1673" t="s">
        <v>1793</v>
      </c>
      <c r="B1673" t="s">
        <v>2167</v>
      </c>
      <c r="C1673" t="s">
        <v>2169</v>
      </c>
      <c r="D1673">
        <v>13</v>
      </c>
      <c r="E1673" t="s">
        <v>1447</v>
      </c>
      <c r="F1673" t="s">
        <v>2171</v>
      </c>
      <c r="G1673" t="s">
        <v>1797</v>
      </c>
      <c r="H1673" t="s">
        <v>2179</v>
      </c>
      <c r="I1673" t="s">
        <v>1799</v>
      </c>
      <c r="J1673" t="s">
        <v>1799</v>
      </c>
      <c r="K1673" t="s">
        <v>1799</v>
      </c>
      <c r="L1673" t="s">
        <v>1799</v>
      </c>
      <c r="M1673" t="s">
        <v>1799</v>
      </c>
      <c r="N1673" t="s">
        <v>1799</v>
      </c>
      <c r="O1673" s="184" t="str">
        <f>"["&amp;$C1673&amp;"]["&amp;$D1673&amp;"]["&amp;$F1673&amp;"]"</f>
        <v>[S05_InherentCarbonTransferredDetail][13][InstallationIdTransferring]</v>
      </c>
    </row>
    <row r="1674" spans="1:15" x14ac:dyDescent="0.3">
      <c r="A1674" t="s">
        <v>1793</v>
      </c>
      <c r="B1674" t="s">
        <v>2167</v>
      </c>
      <c r="C1674" t="s">
        <v>2169</v>
      </c>
      <c r="D1674">
        <v>14</v>
      </c>
      <c r="E1674" t="s">
        <v>1447</v>
      </c>
      <c r="F1674" t="s">
        <v>2171</v>
      </c>
      <c r="G1674" t="s">
        <v>1797</v>
      </c>
      <c r="H1674" t="s">
        <v>2179</v>
      </c>
      <c r="I1674" t="s">
        <v>1799</v>
      </c>
      <c r="J1674" t="s">
        <v>1799</v>
      </c>
      <c r="K1674" t="s">
        <v>1799</v>
      </c>
      <c r="L1674" t="s">
        <v>1799</v>
      </c>
      <c r="M1674" t="s">
        <v>1799</v>
      </c>
      <c r="N1674" t="s">
        <v>1799</v>
      </c>
      <c r="O1674" s="184" t="str">
        <f>"["&amp;$C1674&amp;"]["&amp;$D1674&amp;"]["&amp;$F1674&amp;"]"</f>
        <v>[S05_InherentCarbonTransferredDetail][14][InstallationIdTransferring]</v>
      </c>
    </row>
    <row r="1675" spans="1:15" x14ac:dyDescent="0.3">
      <c r="A1675" t="s">
        <v>1793</v>
      </c>
      <c r="B1675" t="s">
        <v>2167</v>
      </c>
      <c r="C1675" t="s">
        <v>2169</v>
      </c>
      <c r="D1675">
        <v>15</v>
      </c>
      <c r="E1675" t="s">
        <v>1447</v>
      </c>
      <c r="F1675" t="s">
        <v>2171</v>
      </c>
      <c r="G1675" t="s">
        <v>1797</v>
      </c>
      <c r="H1675" t="s">
        <v>2179</v>
      </c>
      <c r="I1675" t="s">
        <v>1799</v>
      </c>
      <c r="J1675" t="s">
        <v>1799</v>
      </c>
      <c r="K1675" t="s">
        <v>1799</v>
      </c>
      <c r="L1675" t="s">
        <v>1799</v>
      </c>
      <c r="M1675" t="s">
        <v>1799</v>
      </c>
      <c r="N1675" t="s">
        <v>1799</v>
      </c>
      <c r="O1675" s="184" t="str">
        <f>"["&amp;$C1675&amp;"]["&amp;$D1675&amp;"]["&amp;$F1675&amp;"]"</f>
        <v>[S05_InherentCarbonTransferredDetail][15][InstallationIdTransferring]</v>
      </c>
    </row>
    <row r="1676" spans="1:15" x14ac:dyDescent="0.3">
      <c r="A1676" t="s">
        <v>1793</v>
      </c>
      <c r="B1676" t="s">
        <v>2167</v>
      </c>
      <c r="C1676" t="s">
        <v>2169</v>
      </c>
      <c r="D1676">
        <v>16</v>
      </c>
      <c r="E1676" t="s">
        <v>1447</v>
      </c>
      <c r="F1676" t="s">
        <v>2171</v>
      </c>
      <c r="G1676" t="s">
        <v>1797</v>
      </c>
      <c r="H1676" t="s">
        <v>2179</v>
      </c>
      <c r="I1676" t="s">
        <v>1799</v>
      </c>
      <c r="J1676" t="s">
        <v>1799</v>
      </c>
      <c r="K1676" t="s">
        <v>1799</v>
      </c>
      <c r="L1676" t="s">
        <v>1799</v>
      </c>
      <c r="M1676" t="s">
        <v>1799</v>
      </c>
      <c r="N1676" t="s">
        <v>1799</v>
      </c>
      <c r="O1676" s="184" t="str">
        <f>"["&amp;$C1676&amp;"]["&amp;$D1676&amp;"]["&amp;$F1676&amp;"]"</f>
        <v>[S05_InherentCarbonTransferredDetail][16][InstallationIdTransferring]</v>
      </c>
    </row>
    <row r="1677" spans="1:15" x14ac:dyDescent="0.3">
      <c r="A1677" t="s">
        <v>1793</v>
      </c>
      <c r="B1677" t="s">
        <v>2167</v>
      </c>
      <c r="C1677" t="s">
        <v>2169</v>
      </c>
      <c r="D1677">
        <v>17</v>
      </c>
      <c r="E1677" t="s">
        <v>1447</v>
      </c>
      <c r="F1677" t="s">
        <v>2171</v>
      </c>
      <c r="G1677" t="s">
        <v>1797</v>
      </c>
      <c r="H1677" t="s">
        <v>2180</v>
      </c>
      <c r="I1677" t="s">
        <v>1799</v>
      </c>
      <c r="J1677" t="s">
        <v>1799</v>
      </c>
      <c r="K1677" t="s">
        <v>1799</v>
      </c>
      <c r="L1677" t="s">
        <v>1799</v>
      </c>
      <c r="M1677" t="s">
        <v>1799</v>
      </c>
      <c r="N1677" t="s">
        <v>1799</v>
      </c>
      <c r="O1677" s="184" t="str">
        <f>"["&amp;$C1677&amp;"]["&amp;$D1677&amp;"]["&amp;$F1677&amp;"]"</f>
        <v>[S05_InherentCarbonTransferredDetail][17][InstallationIdTransferring]</v>
      </c>
    </row>
    <row r="1678" spans="1:15" x14ac:dyDescent="0.3">
      <c r="A1678" t="s">
        <v>1793</v>
      </c>
      <c r="B1678" t="s">
        <v>2167</v>
      </c>
      <c r="C1678" t="s">
        <v>2169</v>
      </c>
      <c r="D1678">
        <v>18</v>
      </c>
      <c r="E1678" t="s">
        <v>1447</v>
      </c>
      <c r="F1678" t="s">
        <v>2171</v>
      </c>
      <c r="G1678" t="s">
        <v>1797</v>
      </c>
      <c r="H1678" t="s">
        <v>2180</v>
      </c>
      <c r="I1678" t="s">
        <v>1799</v>
      </c>
      <c r="J1678" t="s">
        <v>1799</v>
      </c>
      <c r="K1678" t="s">
        <v>1799</v>
      </c>
      <c r="L1678" t="s">
        <v>1799</v>
      </c>
      <c r="M1678" t="s">
        <v>1799</v>
      </c>
      <c r="N1678" t="s">
        <v>1799</v>
      </c>
      <c r="O1678" s="184" t="str">
        <f>"["&amp;$C1678&amp;"]["&amp;$D1678&amp;"]["&amp;$F1678&amp;"]"</f>
        <v>[S05_InherentCarbonTransferredDetail][18][InstallationIdTransferring]</v>
      </c>
    </row>
    <row r="1679" spans="1:15" x14ac:dyDescent="0.3">
      <c r="A1679" t="s">
        <v>1793</v>
      </c>
      <c r="B1679" t="s">
        <v>2167</v>
      </c>
      <c r="C1679" t="s">
        <v>2169</v>
      </c>
      <c r="D1679">
        <v>19</v>
      </c>
      <c r="E1679" t="s">
        <v>1447</v>
      </c>
      <c r="F1679" t="s">
        <v>2171</v>
      </c>
      <c r="G1679" t="s">
        <v>1797</v>
      </c>
      <c r="H1679" t="s">
        <v>2180</v>
      </c>
      <c r="I1679" t="s">
        <v>1799</v>
      </c>
      <c r="J1679" t="s">
        <v>1799</v>
      </c>
      <c r="K1679" t="s">
        <v>1799</v>
      </c>
      <c r="L1679" t="s">
        <v>1799</v>
      </c>
      <c r="M1679" t="s">
        <v>1799</v>
      </c>
      <c r="N1679" t="s">
        <v>1799</v>
      </c>
      <c r="O1679" s="184" t="str">
        <f>"["&amp;$C1679&amp;"]["&amp;$D1679&amp;"]["&amp;$F1679&amp;"]"</f>
        <v>[S05_InherentCarbonTransferredDetail][19][InstallationIdTransferring]</v>
      </c>
    </row>
    <row r="1680" spans="1:15" x14ac:dyDescent="0.3">
      <c r="A1680" t="s">
        <v>1793</v>
      </c>
      <c r="B1680" t="s">
        <v>2167</v>
      </c>
      <c r="C1680" t="s">
        <v>2169</v>
      </c>
      <c r="D1680">
        <v>20</v>
      </c>
      <c r="E1680" t="s">
        <v>1447</v>
      </c>
      <c r="F1680" t="s">
        <v>2171</v>
      </c>
      <c r="G1680" t="s">
        <v>1797</v>
      </c>
      <c r="H1680" t="s">
        <v>2180</v>
      </c>
      <c r="I1680" t="s">
        <v>1799</v>
      </c>
      <c r="J1680" t="s">
        <v>1799</v>
      </c>
      <c r="K1680" t="s">
        <v>1799</v>
      </c>
      <c r="L1680" t="s">
        <v>1799</v>
      </c>
      <c r="M1680" t="s">
        <v>1799</v>
      </c>
      <c r="N1680" t="s">
        <v>1799</v>
      </c>
      <c r="O1680" s="184" t="str">
        <f>"["&amp;$C1680&amp;"]["&amp;$D1680&amp;"]["&amp;$F1680&amp;"]"</f>
        <v>[S05_InherentCarbonTransferredDetail][20][InstallationIdTransferring]</v>
      </c>
    </row>
    <row r="1681" spans="1:15" x14ac:dyDescent="0.3">
      <c r="A1681" t="s">
        <v>1793</v>
      </c>
      <c r="B1681" t="s">
        <v>2167</v>
      </c>
      <c r="C1681" t="s">
        <v>2169</v>
      </c>
      <c r="D1681">
        <v>21</v>
      </c>
      <c r="E1681" t="s">
        <v>1447</v>
      </c>
      <c r="F1681" t="s">
        <v>2171</v>
      </c>
      <c r="G1681" t="s">
        <v>1797</v>
      </c>
      <c r="H1681" t="s">
        <v>2180</v>
      </c>
      <c r="I1681" t="s">
        <v>1799</v>
      </c>
      <c r="J1681" t="s">
        <v>1799</v>
      </c>
      <c r="K1681" t="s">
        <v>1799</v>
      </c>
      <c r="L1681" t="s">
        <v>1799</v>
      </c>
      <c r="M1681" t="s">
        <v>1799</v>
      </c>
      <c r="N1681" t="s">
        <v>1799</v>
      </c>
      <c r="O1681" s="184" t="str">
        <f>"["&amp;$C1681&amp;"]["&amp;$D1681&amp;"]["&amp;$F1681&amp;"]"</f>
        <v>[S05_InherentCarbonTransferredDetail][21][InstallationIdTransferring]</v>
      </c>
    </row>
    <row r="1682" spans="1:15" x14ac:dyDescent="0.3">
      <c r="A1682" t="s">
        <v>1793</v>
      </c>
      <c r="B1682" t="s">
        <v>2167</v>
      </c>
      <c r="C1682" t="s">
        <v>2169</v>
      </c>
      <c r="D1682">
        <v>22</v>
      </c>
      <c r="E1682" t="s">
        <v>1447</v>
      </c>
      <c r="F1682" t="s">
        <v>2171</v>
      </c>
      <c r="G1682" t="s">
        <v>1797</v>
      </c>
      <c r="H1682" t="s">
        <v>2180</v>
      </c>
      <c r="I1682" t="s">
        <v>1799</v>
      </c>
      <c r="J1682" t="s">
        <v>1799</v>
      </c>
      <c r="K1682" t="s">
        <v>1799</v>
      </c>
      <c r="L1682" t="s">
        <v>1799</v>
      </c>
      <c r="M1682" t="s">
        <v>1799</v>
      </c>
      <c r="N1682" t="s">
        <v>1799</v>
      </c>
      <c r="O1682" s="184" t="str">
        <f>"["&amp;$C1682&amp;"]["&amp;$D1682&amp;"]["&amp;$F1682&amp;"]"</f>
        <v>[S05_InherentCarbonTransferredDetail][22][InstallationIdTransferring]</v>
      </c>
    </row>
    <row r="1683" spans="1:15" x14ac:dyDescent="0.3">
      <c r="A1683" t="s">
        <v>1793</v>
      </c>
      <c r="B1683" t="s">
        <v>2167</v>
      </c>
      <c r="C1683" t="s">
        <v>2169</v>
      </c>
      <c r="D1683">
        <v>23</v>
      </c>
      <c r="E1683" t="s">
        <v>1447</v>
      </c>
      <c r="F1683" t="s">
        <v>2171</v>
      </c>
      <c r="G1683" t="s">
        <v>1797</v>
      </c>
      <c r="H1683" t="s">
        <v>2180</v>
      </c>
      <c r="I1683" t="s">
        <v>1799</v>
      </c>
      <c r="J1683" t="s">
        <v>1799</v>
      </c>
      <c r="K1683" t="s">
        <v>1799</v>
      </c>
      <c r="L1683" t="s">
        <v>1799</v>
      </c>
      <c r="M1683" t="s">
        <v>1799</v>
      </c>
      <c r="N1683" t="s">
        <v>1799</v>
      </c>
      <c r="O1683" s="184" t="str">
        <f>"["&amp;$C1683&amp;"]["&amp;$D1683&amp;"]["&amp;$F1683&amp;"]"</f>
        <v>[S05_InherentCarbonTransferredDetail][23][InstallationIdTransferring]</v>
      </c>
    </row>
    <row r="1684" spans="1:15" x14ac:dyDescent="0.3">
      <c r="A1684" t="s">
        <v>1793</v>
      </c>
      <c r="B1684" t="s">
        <v>2167</v>
      </c>
      <c r="C1684" t="s">
        <v>2169</v>
      </c>
      <c r="D1684">
        <v>24</v>
      </c>
      <c r="E1684" t="s">
        <v>1447</v>
      </c>
      <c r="F1684" t="s">
        <v>2171</v>
      </c>
      <c r="G1684" t="s">
        <v>1797</v>
      </c>
      <c r="H1684" t="s">
        <v>2180</v>
      </c>
      <c r="I1684" t="s">
        <v>1799</v>
      </c>
      <c r="J1684" t="s">
        <v>1799</v>
      </c>
      <c r="K1684" t="s">
        <v>1799</v>
      </c>
      <c r="L1684" t="s">
        <v>1799</v>
      </c>
      <c r="M1684" t="s">
        <v>1799</v>
      </c>
      <c r="N1684" t="s">
        <v>1799</v>
      </c>
      <c r="O1684" s="184" t="str">
        <f>"["&amp;$C1684&amp;"]["&amp;$D1684&amp;"]["&amp;$F1684&amp;"]"</f>
        <v>[S05_InherentCarbonTransferredDetail][24][InstallationIdTransferring]</v>
      </c>
    </row>
    <row r="1685" spans="1:15" x14ac:dyDescent="0.3">
      <c r="A1685" t="s">
        <v>1793</v>
      </c>
      <c r="B1685" t="s">
        <v>2167</v>
      </c>
      <c r="C1685" t="s">
        <v>2169</v>
      </c>
      <c r="D1685">
        <v>25</v>
      </c>
      <c r="E1685" t="s">
        <v>1447</v>
      </c>
      <c r="F1685" t="s">
        <v>2171</v>
      </c>
      <c r="G1685" t="s">
        <v>1797</v>
      </c>
      <c r="H1685" t="s">
        <v>2180</v>
      </c>
      <c r="I1685" t="s">
        <v>1799</v>
      </c>
      <c r="J1685" t="s">
        <v>1799</v>
      </c>
      <c r="K1685" t="s">
        <v>1799</v>
      </c>
      <c r="L1685" t="s">
        <v>1799</v>
      </c>
      <c r="M1685" t="s">
        <v>1799</v>
      </c>
      <c r="N1685" t="s">
        <v>1799</v>
      </c>
      <c r="O1685" s="184" t="str">
        <f>"["&amp;$C1685&amp;"]["&amp;$D1685&amp;"]["&amp;$F1685&amp;"]"</f>
        <v>[S05_InherentCarbonTransferredDetail][25][InstallationIdTransferring]</v>
      </c>
    </row>
    <row r="1686" spans="1:15" x14ac:dyDescent="0.3">
      <c r="A1686" t="s">
        <v>1793</v>
      </c>
      <c r="B1686" t="s">
        <v>2167</v>
      </c>
      <c r="C1686" t="s">
        <v>2169</v>
      </c>
      <c r="D1686">
        <v>26</v>
      </c>
      <c r="E1686" t="s">
        <v>1447</v>
      </c>
      <c r="F1686" t="s">
        <v>2171</v>
      </c>
      <c r="G1686" t="s">
        <v>1797</v>
      </c>
      <c r="H1686" t="s">
        <v>2180</v>
      </c>
      <c r="I1686" t="s">
        <v>1799</v>
      </c>
      <c r="J1686" t="s">
        <v>1799</v>
      </c>
      <c r="K1686" t="s">
        <v>1799</v>
      </c>
      <c r="L1686" t="s">
        <v>1799</v>
      </c>
      <c r="M1686" t="s">
        <v>1799</v>
      </c>
      <c r="N1686" t="s">
        <v>1799</v>
      </c>
      <c r="O1686" s="184" t="str">
        <f>"["&amp;$C1686&amp;"]["&amp;$D1686&amp;"]["&amp;$F1686&amp;"]"</f>
        <v>[S05_InherentCarbonTransferredDetail][26][InstallationIdTransferring]</v>
      </c>
    </row>
    <row r="1687" spans="1:15" x14ac:dyDescent="0.3">
      <c r="A1687" t="s">
        <v>1793</v>
      </c>
      <c r="B1687" t="s">
        <v>2167</v>
      </c>
      <c r="C1687" t="s">
        <v>2169</v>
      </c>
      <c r="D1687">
        <v>27</v>
      </c>
      <c r="E1687" t="s">
        <v>1447</v>
      </c>
      <c r="F1687" t="s">
        <v>2171</v>
      </c>
      <c r="G1687" t="s">
        <v>1797</v>
      </c>
      <c r="H1687" t="s">
        <v>2180</v>
      </c>
      <c r="I1687" t="s">
        <v>1799</v>
      </c>
      <c r="J1687" t="s">
        <v>1799</v>
      </c>
      <c r="K1687" t="s">
        <v>1799</v>
      </c>
      <c r="L1687" t="s">
        <v>1799</v>
      </c>
      <c r="M1687" t="s">
        <v>1799</v>
      </c>
      <c r="N1687" t="s">
        <v>1799</v>
      </c>
      <c r="O1687" s="184" t="str">
        <f>"["&amp;$C1687&amp;"]["&amp;$D1687&amp;"]["&amp;$F1687&amp;"]"</f>
        <v>[S05_InherentCarbonTransferredDetail][27][InstallationIdTransferring]</v>
      </c>
    </row>
    <row r="1688" spans="1:15" x14ac:dyDescent="0.3">
      <c r="A1688" t="s">
        <v>1793</v>
      </c>
      <c r="B1688" t="s">
        <v>2167</v>
      </c>
      <c r="C1688" t="s">
        <v>2169</v>
      </c>
      <c r="D1688">
        <v>28</v>
      </c>
      <c r="E1688" t="s">
        <v>1447</v>
      </c>
      <c r="F1688" t="s">
        <v>2171</v>
      </c>
      <c r="G1688" t="s">
        <v>1797</v>
      </c>
      <c r="H1688" t="s">
        <v>2180</v>
      </c>
      <c r="I1688" t="s">
        <v>1799</v>
      </c>
      <c r="J1688" t="s">
        <v>1799</v>
      </c>
      <c r="K1688" t="s">
        <v>1799</v>
      </c>
      <c r="L1688" t="s">
        <v>1799</v>
      </c>
      <c r="M1688" t="s">
        <v>1799</v>
      </c>
      <c r="N1688" t="s">
        <v>1799</v>
      </c>
      <c r="O1688" s="184" t="str">
        <f>"["&amp;$C1688&amp;"]["&amp;$D1688&amp;"]["&amp;$F1688&amp;"]"</f>
        <v>[S05_InherentCarbonTransferredDetail][28][InstallationIdTransferring]</v>
      </c>
    </row>
    <row r="1689" spans="1:15" x14ac:dyDescent="0.3">
      <c r="A1689" t="s">
        <v>1793</v>
      </c>
      <c r="B1689" t="s">
        <v>2167</v>
      </c>
      <c r="C1689" t="s">
        <v>2169</v>
      </c>
      <c r="D1689">
        <v>29</v>
      </c>
      <c r="E1689" t="s">
        <v>1447</v>
      </c>
      <c r="F1689" t="s">
        <v>2171</v>
      </c>
      <c r="G1689" t="s">
        <v>1797</v>
      </c>
      <c r="H1689" t="s">
        <v>2180</v>
      </c>
      <c r="I1689" t="s">
        <v>1799</v>
      </c>
      <c r="J1689" t="s">
        <v>1799</v>
      </c>
      <c r="K1689" t="s">
        <v>1799</v>
      </c>
      <c r="L1689" t="s">
        <v>1799</v>
      </c>
      <c r="M1689" t="s">
        <v>1799</v>
      </c>
      <c r="N1689" t="s">
        <v>1799</v>
      </c>
      <c r="O1689" s="184" t="str">
        <f>"["&amp;$C1689&amp;"]["&amp;$D1689&amp;"]["&amp;$F1689&amp;"]"</f>
        <v>[S05_InherentCarbonTransferredDetail][29][InstallationIdTransferring]</v>
      </c>
    </row>
    <row r="1690" spans="1:15" x14ac:dyDescent="0.3">
      <c r="A1690" t="s">
        <v>1793</v>
      </c>
      <c r="B1690" t="s">
        <v>2167</v>
      </c>
      <c r="C1690" t="s">
        <v>2169</v>
      </c>
      <c r="D1690">
        <v>30</v>
      </c>
      <c r="E1690" t="s">
        <v>1447</v>
      </c>
      <c r="F1690" t="s">
        <v>2171</v>
      </c>
      <c r="G1690" t="s">
        <v>1797</v>
      </c>
      <c r="H1690" t="s">
        <v>2180</v>
      </c>
      <c r="I1690" t="s">
        <v>1799</v>
      </c>
      <c r="J1690" t="s">
        <v>1799</v>
      </c>
      <c r="K1690" t="s">
        <v>1799</v>
      </c>
      <c r="L1690" t="s">
        <v>1799</v>
      </c>
      <c r="M1690" t="s">
        <v>1799</v>
      </c>
      <c r="N1690" t="s">
        <v>1799</v>
      </c>
      <c r="O1690" s="184" t="str">
        <f>"["&amp;$C1690&amp;"]["&amp;$D1690&amp;"]["&amp;$F1690&amp;"]"</f>
        <v>[S05_InherentCarbonTransferredDetail][30][InstallationIdTransferring]</v>
      </c>
    </row>
    <row r="1691" spans="1:15" x14ac:dyDescent="0.3">
      <c r="A1691" t="s">
        <v>1793</v>
      </c>
      <c r="B1691" t="s">
        <v>2167</v>
      </c>
      <c r="C1691" t="s">
        <v>2169</v>
      </c>
      <c r="D1691">
        <v>31</v>
      </c>
      <c r="E1691" t="s">
        <v>1447</v>
      </c>
      <c r="F1691" t="s">
        <v>2171</v>
      </c>
      <c r="G1691" t="s">
        <v>1797</v>
      </c>
      <c r="H1691" t="s">
        <v>2180</v>
      </c>
      <c r="I1691" t="s">
        <v>1799</v>
      </c>
      <c r="J1691" t="s">
        <v>1799</v>
      </c>
      <c r="K1691" t="s">
        <v>1799</v>
      </c>
      <c r="L1691" t="s">
        <v>1799</v>
      </c>
      <c r="M1691" t="s">
        <v>1799</v>
      </c>
      <c r="N1691" t="s">
        <v>1799</v>
      </c>
      <c r="O1691" s="184" t="str">
        <f>"["&amp;$C1691&amp;"]["&amp;$D1691&amp;"]["&amp;$F1691&amp;"]"</f>
        <v>[S05_InherentCarbonTransferredDetail][31][InstallationIdTransferring]</v>
      </c>
    </row>
    <row r="1692" spans="1:15" x14ac:dyDescent="0.3">
      <c r="A1692" t="s">
        <v>1793</v>
      </c>
      <c r="B1692" t="s">
        <v>2167</v>
      </c>
      <c r="C1692" t="s">
        <v>2169</v>
      </c>
      <c r="D1692">
        <v>32</v>
      </c>
      <c r="E1692" t="s">
        <v>1447</v>
      </c>
      <c r="F1692" t="s">
        <v>2171</v>
      </c>
      <c r="G1692" t="s">
        <v>1797</v>
      </c>
      <c r="H1692" t="s">
        <v>2180</v>
      </c>
      <c r="I1692" t="s">
        <v>1799</v>
      </c>
      <c r="J1692" t="s">
        <v>1799</v>
      </c>
      <c r="K1692" t="s">
        <v>1799</v>
      </c>
      <c r="L1692" t="s">
        <v>1799</v>
      </c>
      <c r="M1692" t="s">
        <v>1799</v>
      </c>
      <c r="N1692" t="s">
        <v>1799</v>
      </c>
      <c r="O1692" s="184" t="str">
        <f>"["&amp;$C1692&amp;"]["&amp;$D1692&amp;"]["&amp;$F1692&amp;"]"</f>
        <v>[S05_InherentCarbonTransferredDetail][32][InstallationIdTransferring]</v>
      </c>
    </row>
    <row r="1693" spans="1:15" x14ac:dyDescent="0.3">
      <c r="A1693" t="s">
        <v>1793</v>
      </c>
      <c r="B1693" t="s">
        <v>2167</v>
      </c>
      <c r="C1693" t="s">
        <v>2169</v>
      </c>
      <c r="D1693">
        <v>33</v>
      </c>
      <c r="E1693" t="s">
        <v>1447</v>
      </c>
      <c r="F1693" t="s">
        <v>2171</v>
      </c>
      <c r="G1693" t="s">
        <v>1797</v>
      </c>
      <c r="H1693" t="s">
        <v>2180</v>
      </c>
      <c r="I1693" t="s">
        <v>1799</v>
      </c>
      <c r="J1693" t="s">
        <v>1799</v>
      </c>
      <c r="K1693" t="s">
        <v>1799</v>
      </c>
      <c r="L1693" t="s">
        <v>1799</v>
      </c>
      <c r="M1693" t="s">
        <v>1799</v>
      </c>
      <c r="N1693" t="s">
        <v>1799</v>
      </c>
      <c r="O1693" s="184" t="str">
        <f>"["&amp;$C1693&amp;"]["&amp;$D1693&amp;"]["&amp;$F1693&amp;"]"</f>
        <v>[S05_InherentCarbonTransferredDetail][33][InstallationIdTransferring]</v>
      </c>
    </row>
    <row r="1694" spans="1:15" x14ac:dyDescent="0.3">
      <c r="A1694" t="s">
        <v>1793</v>
      </c>
      <c r="B1694" t="s">
        <v>2167</v>
      </c>
      <c r="C1694" t="s">
        <v>2169</v>
      </c>
      <c r="D1694">
        <v>34</v>
      </c>
      <c r="E1694" t="s">
        <v>1447</v>
      </c>
      <c r="F1694" t="s">
        <v>2171</v>
      </c>
      <c r="G1694" t="s">
        <v>1797</v>
      </c>
      <c r="H1694" t="s">
        <v>2181</v>
      </c>
      <c r="I1694" t="s">
        <v>1799</v>
      </c>
      <c r="J1694" t="s">
        <v>1799</v>
      </c>
      <c r="K1694" t="s">
        <v>1799</v>
      </c>
      <c r="L1694" t="s">
        <v>1799</v>
      </c>
      <c r="M1694" t="s">
        <v>1799</v>
      </c>
      <c r="N1694" t="s">
        <v>1799</v>
      </c>
      <c r="O1694" s="184" t="str">
        <f>"["&amp;$C1694&amp;"]["&amp;$D1694&amp;"]["&amp;$F1694&amp;"]"</f>
        <v>[S05_InherentCarbonTransferredDetail][34][InstallationIdTransferring]</v>
      </c>
    </row>
    <row r="1695" spans="1:15" x14ac:dyDescent="0.3">
      <c r="A1695" t="s">
        <v>1793</v>
      </c>
      <c r="B1695" t="s">
        <v>2167</v>
      </c>
      <c r="C1695" t="s">
        <v>2169</v>
      </c>
      <c r="D1695">
        <v>35</v>
      </c>
      <c r="E1695" t="s">
        <v>1447</v>
      </c>
      <c r="F1695" t="s">
        <v>2171</v>
      </c>
      <c r="G1695" t="s">
        <v>1797</v>
      </c>
      <c r="H1695" t="s">
        <v>2181</v>
      </c>
      <c r="I1695" t="s">
        <v>1799</v>
      </c>
      <c r="J1695" t="s">
        <v>1799</v>
      </c>
      <c r="K1695" t="s">
        <v>1799</v>
      </c>
      <c r="L1695" t="s">
        <v>1799</v>
      </c>
      <c r="M1695" t="s">
        <v>1799</v>
      </c>
      <c r="N1695" t="s">
        <v>1799</v>
      </c>
      <c r="O1695" s="184" t="str">
        <f>"["&amp;$C1695&amp;"]["&amp;$D1695&amp;"]["&amp;$F1695&amp;"]"</f>
        <v>[S05_InherentCarbonTransferredDetail][35][InstallationIdTransferring]</v>
      </c>
    </row>
    <row r="1696" spans="1:15" x14ac:dyDescent="0.3">
      <c r="A1696" t="s">
        <v>1793</v>
      </c>
      <c r="B1696" t="s">
        <v>2167</v>
      </c>
      <c r="C1696" t="s">
        <v>2169</v>
      </c>
      <c r="D1696">
        <v>36</v>
      </c>
      <c r="E1696" t="s">
        <v>1447</v>
      </c>
      <c r="F1696" t="s">
        <v>2171</v>
      </c>
      <c r="G1696" t="s">
        <v>1797</v>
      </c>
      <c r="H1696" t="s">
        <v>2181</v>
      </c>
      <c r="I1696" t="s">
        <v>1799</v>
      </c>
      <c r="J1696" t="s">
        <v>1799</v>
      </c>
      <c r="K1696" t="s">
        <v>1799</v>
      </c>
      <c r="L1696" t="s">
        <v>1799</v>
      </c>
      <c r="M1696" t="s">
        <v>1799</v>
      </c>
      <c r="N1696" t="s">
        <v>1799</v>
      </c>
      <c r="O1696" s="184" t="str">
        <f>"["&amp;$C1696&amp;"]["&amp;$D1696&amp;"]["&amp;$F1696&amp;"]"</f>
        <v>[S05_InherentCarbonTransferredDetail][36][InstallationIdTransferring]</v>
      </c>
    </row>
    <row r="1697" spans="1:15" x14ac:dyDescent="0.3">
      <c r="A1697" t="s">
        <v>1793</v>
      </c>
      <c r="B1697" t="s">
        <v>2167</v>
      </c>
      <c r="C1697" t="s">
        <v>2169</v>
      </c>
      <c r="D1697">
        <v>37</v>
      </c>
      <c r="E1697" t="s">
        <v>1447</v>
      </c>
      <c r="F1697" t="s">
        <v>2171</v>
      </c>
      <c r="G1697" t="s">
        <v>1797</v>
      </c>
      <c r="H1697" t="s">
        <v>2181</v>
      </c>
      <c r="I1697" t="s">
        <v>1799</v>
      </c>
      <c r="J1697" t="s">
        <v>1799</v>
      </c>
      <c r="K1697" t="s">
        <v>1799</v>
      </c>
      <c r="L1697" t="s">
        <v>1799</v>
      </c>
      <c r="M1697" t="s">
        <v>1799</v>
      </c>
      <c r="N1697" t="s">
        <v>1799</v>
      </c>
      <c r="O1697" s="184" t="str">
        <f>"["&amp;$C1697&amp;"]["&amp;$D1697&amp;"]["&amp;$F1697&amp;"]"</f>
        <v>[S05_InherentCarbonTransferredDetail][37][InstallationIdTransferring]</v>
      </c>
    </row>
    <row r="1698" spans="1:15" x14ac:dyDescent="0.3">
      <c r="A1698" t="s">
        <v>1793</v>
      </c>
      <c r="B1698" t="s">
        <v>2167</v>
      </c>
      <c r="C1698" t="s">
        <v>2169</v>
      </c>
      <c r="D1698">
        <v>38</v>
      </c>
      <c r="E1698" t="s">
        <v>1447</v>
      </c>
      <c r="F1698" t="s">
        <v>2171</v>
      </c>
      <c r="G1698" t="s">
        <v>1797</v>
      </c>
      <c r="H1698" t="s">
        <v>2181</v>
      </c>
      <c r="I1698" t="s">
        <v>1799</v>
      </c>
      <c r="J1698" t="s">
        <v>1799</v>
      </c>
      <c r="K1698" t="s">
        <v>1799</v>
      </c>
      <c r="L1698" t="s">
        <v>1799</v>
      </c>
      <c r="M1698" t="s">
        <v>1799</v>
      </c>
      <c r="N1698" t="s">
        <v>1799</v>
      </c>
      <c r="O1698" s="184" t="str">
        <f>"["&amp;$C1698&amp;"]["&amp;$D1698&amp;"]["&amp;$F1698&amp;"]"</f>
        <v>[S05_InherentCarbonTransferredDetail][38][InstallationIdTransferring]</v>
      </c>
    </row>
    <row r="1699" spans="1:15" x14ac:dyDescent="0.3">
      <c r="A1699" t="s">
        <v>1793</v>
      </c>
      <c r="B1699" t="s">
        <v>2167</v>
      </c>
      <c r="C1699" t="s">
        <v>2169</v>
      </c>
      <c r="D1699">
        <v>39</v>
      </c>
      <c r="E1699" t="s">
        <v>1447</v>
      </c>
      <c r="F1699" t="s">
        <v>2171</v>
      </c>
      <c r="G1699" t="s">
        <v>1797</v>
      </c>
      <c r="H1699" t="s">
        <v>2181</v>
      </c>
      <c r="I1699" t="s">
        <v>1799</v>
      </c>
      <c r="J1699" t="s">
        <v>1799</v>
      </c>
      <c r="K1699" t="s">
        <v>1799</v>
      </c>
      <c r="L1699" t="s">
        <v>1799</v>
      </c>
      <c r="M1699" t="s">
        <v>1799</v>
      </c>
      <c r="N1699" t="s">
        <v>1799</v>
      </c>
      <c r="O1699" s="184" t="str">
        <f>"["&amp;$C1699&amp;"]["&amp;$D1699&amp;"]["&amp;$F1699&amp;"]"</f>
        <v>[S05_InherentCarbonTransferredDetail][39][InstallationIdTransferring]</v>
      </c>
    </row>
    <row r="1700" spans="1:15" x14ac:dyDescent="0.3">
      <c r="A1700" t="s">
        <v>1793</v>
      </c>
      <c r="B1700" t="s">
        <v>2167</v>
      </c>
      <c r="C1700" t="s">
        <v>2169</v>
      </c>
      <c r="D1700">
        <v>40</v>
      </c>
      <c r="E1700" t="s">
        <v>1447</v>
      </c>
      <c r="F1700" t="s">
        <v>2171</v>
      </c>
      <c r="G1700" t="s">
        <v>1797</v>
      </c>
      <c r="H1700" t="s">
        <v>2181</v>
      </c>
      <c r="I1700" t="s">
        <v>1799</v>
      </c>
      <c r="J1700" t="s">
        <v>1799</v>
      </c>
      <c r="K1700" t="s">
        <v>1799</v>
      </c>
      <c r="L1700" t="s">
        <v>1799</v>
      </c>
      <c r="M1700" t="s">
        <v>1799</v>
      </c>
      <c r="N1700" t="s">
        <v>1799</v>
      </c>
      <c r="O1700" s="184" t="str">
        <f>"["&amp;$C1700&amp;"]["&amp;$D1700&amp;"]["&amp;$F1700&amp;"]"</f>
        <v>[S05_InherentCarbonTransferredDetail][40][InstallationIdTransferring]</v>
      </c>
    </row>
    <row r="1701" spans="1:15" x14ac:dyDescent="0.3">
      <c r="A1701" t="s">
        <v>1793</v>
      </c>
      <c r="B1701" t="s">
        <v>2167</v>
      </c>
      <c r="C1701" t="s">
        <v>2169</v>
      </c>
      <c r="D1701">
        <v>41</v>
      </c>
      <c r="E1701" t="s">
        <v>1447</v>
      </c>
      <c r="F1701" t="s">
        <v>2171</v>
      </c>
      <c r="G1701" t="s">
        <v>1797</v>
      </c>
      <c r="H1701" t="s">
        <v>2181</v>
      </c>
      <c r="I1701" t="s">
        <v>1799</v>
      </c>
      <c r="J1701" t="s">
        <v>1799</v>
      </c>
      <c r="K1701" t="s">
        <v>1799</v>
      </c>
      <c r="L1701" t="s">
        <v>1799</v>
      </c>
      <c r="M1701" t="s">
        <v>1799</v>
      </c>
      <c r="N1701" t="s">
        <v>1799</v>
      </c>
      <c r="O1701" s="184" t="str">
        <f>"["&amp;$C1701&amp;"]["&amp;$D1701&amp;"]["&amp;$F1701&amp;"]"</f>
        <v>[S05_InherentCarbonTransferredDetail][41][InstallationIdTransferring]</v>
      </c>
    </row>
    <row r="1702" spans="1:15" x14ac:dyDescent="0.3">
      <c r="A1702" t="s">
        <v>1793</v>
      </c>
      <c r="B1702" t="s">
        <v>2167</v>
      </c>
      <c r="C1702" t="s">
        <v>2169</v>
      </c>
      <c r="D1702">
        <v>42</v>
      </c>
      <c r="E1702" t="s">
        <v>1447</v>
      </c>
      <c r="F1702" t="s">
        <v>2171</v>
      </c>
      <c r="G1702" t="s">
        <v>1797</v>
      </c>
      <c r="H1702" t="s">
        <v>2182</v>
      </c>
      <c r="I1702" t="s">
        <v>1799</v>
      </c>
      <c r="J1702" t="s">
        <v>1799</v>
      </c>
      <c r="K1702" t="s">
        <v>1799</v>
      </c>
      <c r="L1702" t="s">
        <v>1799</v>
      </c>
      <c r="M1702" t="s">
        <v>1799</v>
      </c>
      <c r="N1702" t="s">
        <v>1799</v>
      </c>
      <c r="O1702" s="184" t="str">
        <f>"["&amp;$C1702&amp;"]["&amp;$D1702&amp;"]["&amp;$F1702&amp;"]"</f>
        <v>[S05_InherentCarbonTransferredDetail][42][InstallationIdTransferring]</v>
      </c>
    </row>
    <row r="1703" spans="1:15" x14ac:dyDescent="0.3">
      <c r="A1703" t="s">
        <v>1793</v>
      </c>
      <c r="B1703" t="s">
        <v>2167</v>
      </c>
      <c r="C1703" t="s">
        <v>2169</v>
      </c>
      <c r="D1703">
        <v>43</v>
      </c>
      <c r="E1703" t="s">
        <v>1447</v>
      </c>
      <c r="F1703" t="s">
        <v>2171</v>
      </c>
      <c r="G1703" t="s">
        <v>1797</v>
      </c>
      <c r="H1703" t="s">
        <v>2182</v>
      </c>
      <c r="I1703" t="s">
        <v>1799</v>
      </c>
      <c r="J1703" t="s">
        <v>1799</v>
      </c>
      <c r="K1703" t="s">
        <v>1799</v>
      </c>
      <c r="L1703" t="s">
        <v>1799</v>
      </c>
      <c r="M1703" t="s">
        <v>1799</v>
      </c>
      <c r="N1703" t="s">
        <v>1799</v>
      </c>
      <c r="O1703" s="184" t="str">
        <f>"["&amp;$C1703&amp;"]["&amp;$D1703&amp;"]["&amp;$F1703&amp;"]"</f>
        <v>[S05_InherentCarbonTransferredDetail][43][InstallationIdTransferring]</v>
      </c>
    </row>
    <row r="1704" spans="1:15" x14ac:dyDescent="0.3">
      <c r="A1704" t="s">
        <v>1793</v>
      </c>
      <c r="B1704" t="s">
        <v>2167</v>
      </c>
      <c r="C1704" t="s">
        <v>2169</v>
      </c>
      <c r="D1704">
        <v>44</v>
      </c>
      <c r="E1704" t="s">
        <v>1447</v>
      </c>
      <c r="F1704" t="s">
        <v>2171</v>
      </c>
      <c r="G1704" t="s">
        <v>1797</v>
      </c>
      <c r="H1704" t="s">
        <v>2183</v>
      </c>
      <c r="I1704" t="s">
        <v>1799</v>
      </c>
      <c r="J1704" t="s">
        <v>1799</v>
      </c>
      <c r="K1704" t="s">
        <v>1799</v>
      </c>
      <c r="L1704" t="s">
        <v>1799</v>
      </c>
      <c r="M1704" t="s">
        <v>1799</v>
      </c>
      <c r="N1704" t="s">
        <v>1799</v>
      </c>
      <c r="O1704" s="184" t="str">
        <f>"["&amp;$C1704&amp;"]["&amp;$D1704&amp;"]["&amp;$F1704&amp;"]"</f>
        <v>[S05_InherentCarbonTransferredDetail][44][InstallationIdTransferring]</v>
      </c>
    </row>
    <row r="1705" spans="1:15" x14ac:dyDescent="0.3">
      <c r="A1705" t="s">
        <v>1793</v>
      </c>
      <c r="B1705" t="s">
        <v>2167</v>
      </c>
      <c r="C1705" t="s">
        <v>2169</v>
      </c>
      <c r="D1705">
        <v>45</v>
      </c>
      <c r="E1705" t="s">
        <v>1447</v>
      </c>
      <c r="F1705" t="s">
        <v>2171</v>
      </c>
      <c r="G1705" t="s">
        <v>1797</v>
      </c>
      <c r="H1705" t="s">
        <v>2183</v>
      </c>
      <c r="I1705" t="s">
        <v>1799</v>
      </c>
      <c r="J1705" t="s">
        <v>1799</v>
      </c>
      <c r="K1705" t="s">
        <v>1799</v>
      </c>
      <c r="L1705" t="s">
        <v>1799</v>
      </c>
      <c r="M1705" t="s">
        <v>1799</v>
      </c>
      <c r="N1705" t="s">
        <v>1799</v>
      </c>
      <c r="O1705" s="184" t="str">
        <f>"["&amp;$C1705&amp;"]["&amp;$D1705&amp;"]["&amp;$F1705&amp;"]"</f>
        <v>[S05_InherentCarbonTransferredDetail][45][InstallationIdTransferring]</v>
      </c>
    </row>
    <row r="1706" spans="1:15" x14ac:dyDescent="0.3">
      <c r="A1706" t="s">
        <v>1793</v>
      </c>
      <c r="B1706" t="s">
        <v>2167</v>
      </c>
      <c r="C1706" t="s">
        <v>2169</v>
      </c>
      <c r="D1706">
        <v>46</v>
      </c>
      <c r="E1706" t="s">
        <v>1447</v>
      </c>
      <c r="F1706" t="s">
        <v>2171</v>
      </c>
      <c r="G1706" t="s">
        <v>1797</v>
      </c>
      <c r="H1706" t="s">
        <v>2183</v>
      </c>
      <c r="I1706" t="s">
        <v>1799</v>
      </c>
      <c r="J1706" t="s">
        <v>1799</v>
      </c>
      <c r="K1706" t="s">
        <v>1799</v>
      </c>
      <c r="L1706" t="s">
        <v>1799</v>
      </c>
      <c r="M1706" t="s">
        <v>1799</v>
      </c>
      <c r="N1706" t="s">
        <v>1799</v>
      </c>
      <c r="O1706" s="184" t="str">
        <f>"["&amp;$C1706&amp;"]["&amp;$D1706&amp;"]["&amp;$F1706&amp;"]"</f>
        <v>[S05_InherentCarbonTransferredDetail][46][InstallationIdTransferring]</v>
      </c>
    </row>
    <row r="1707" spans="1:15" x14ac:dyDescent="0.3">
      <c r="A1707" t="s">
        <v>1793</v>
      </c>
      <c r="B1707" t="s">
        <v>2167</v>
      </c>
      <c r="C1707" t="s">
        <v>2169</v>
      </c>
      <c r="D1707">
        <v>47</v>
      </c>
      <c r="E1707" t="s">
        <v>1447</v>
      </c>
      <c r="F1707" t="s">
        <v>2171</v>
      </c>
      <c r="G1707" t="s">
        <v>1797</v>
      </c>
      <c r="H1707" t="s">
        <v>2183</v>
      </c>
      <c r="I1707" t="s">
        <v>1799</v>
      </c>
      <c r="J1707" t="s">
        <v>1799</v>
      </c>
      <c r="K1707" t="s">
        <v>1799</v>
      </c>
      <c r="L1707" t="s">
        <v>1799</v>
      </c>
      <c r="M1707" t="s">
        <v>1799</v>
      </c>
      <c r="N1707" t="s">
        <v>1799</v>
      </c>
      <c r="O1707" s="184" t="str">
        <f>"["&amp;$C1707&amp;"]["&amp;$D1707&amp;"]["&amp;$F1707&amp;"]"</f>
        <v>[S05_InherentCarbonTransferredDetail][47][InstallationIdTransferring]</v>
      </c>
    </row>
    <row r="1708" spans="1:15" x14ac:dyDescent="0.3">
      <c r="A1708" t="s">
        <v>1793</v>
      </c>
      <c r="B1708" t="s">
        <v>2167</v>
      </c>
      <c r="C1708" t="s">
        <v>2169</v>
      </c>
      <c r="D1708">
        <v>48</v>
      </c>
      <c r="E1708" t="s">
        <v>1447</v>
      </c>
      <c r="F1708" t="s">
        <v>2171</v>
      </c>
      <c r="G1708" t="s">
        <v>1797</v>
      </c>
      <c r="H1708" t="s">
        <v>2184</v>
      </c>
      <c r="I1708" t="s">
        <v>1799</v>
      </c>
      <c r="J1708" t="s">
        <v>1799</v>
      </c>
      <c r="K1708" t="s">
        <v>1799</v>
      </c>
      <c r="L1708" t="s">
        <v>1799</v>
      </c>
      <c r="M1708" t="s">
        <v>1799</v>
      </c>
      <c r="N1708" t="s">
        <v>1799</v>
      </c>
      <c r="O1708" s="184" t="str">
        <f>"["&amp;$C1708&amp;"]["&amp;$D1708&amp;"]["&amp;$F1708&amp;"]"</f>
        <v>[S05_InherentCarbonTransferredDetail][48][InstallationIdTransferring]</v>
      </c>
    </row>
    <row r="1709" spans="1:15" x14ac:dyDescent="0.3">
      <c r="A1709" t="s">
        <v>1793</v>
      </c>
      <c r="B1709" t="s">
        <v>2167</v>
      </c>
      <c r="C1709" t="s">
        <v>2169</v>
      </c>
      <c r="D1709">
        <v>49</v>
      </c>
      <c r="E1709" t="s">
        <v>1447</v>
      </c>
      <c r="F1709" t="s">
        <v>2171</v>
      </c>
      <c r="G1709" t="s">
        <v>1797</v>
      </c>
      <c r="H1709" t="s">
        <v>2184</v>
      </c>
      <c r="I1709" t="s">
        <v>1799</v>
      </c>
      <c r="J1709" t="s">
        <v>1799</v>
      </c>
      <c r="K1709" t="s">
        <v>1799</v>
      </c>
      <c r="L1709" t="s">
        <v>1799</v>
      </c>
      <c r="M1709" t="s">
        <v>1799</v>
      </c>
      <c r="N1709" t="s">
        <v>1799</v>
      </c>
      <c r="O1709" s="184" t="str">
        <f>"["&amp;$C1709&amp;"]["&amp;$D1709&amp;"]["&amp;$F1709&amp;"]"</f>
        <v>[S05_InherentCarbonTransferredDetail][49][InstallationIdTransferring]</v>
      </c>
    </row>
    <row r="1710" spans="1:15" x14ac:dyDescent="0.3">
      <c r="A1710" t="s">
        <v>1793</v>
      </c>
      <c r="B1710" t="s">
        <v>2167</v>
      </c>
      <c r="C1710" t="s">
        <v>2169</v>
      </c>
      <c r="D1710">
        <v>50</v>
      </c>
      <c r="E1710" t="s">
        <v>1447</v>
      </c>
      <c r="F1710" t="s">
        <v>2171</v>
      </c>
      <c r="G1710" t="s">
        <v>1797</v>
      </c>
      <c r="H1710" t="s">
        <v>2184</v>
      </c>
      <c r="I1710" t="s">
        <v>1799</v>
      </c>
      <c r="J1710" t="s">
        <v>1799</v>
      </c>
      <c r="K1710" t="s">
        <v>1799</v>
      </c>
      <c r="L1710" t="s">
        <v>1799</v>
      </c>
      <c r="M1710" t="s">
        <v>1799</v>
      </c>
      <c r="N1710" t="s">
        <v>1799</v>
      </c>
      <c r="O1710" s="184" t="str">
        <f>"["&amp;$C1710&amp;"]["&amp;$D1710&amp;"]["&amp;$F1710&amp;"]"</f>
        <v>[S05_InherentCarbonTransferredDetail][50][InstallationIdTransferring]</v>
      </c>
    </row>
    <row r="1711" spans="1:15" x14ac:dyDescent="0.3">
      <c r="A1711" t="s">
        <v>1793</v>
      </c>
      <c r="B1711" t="s">
        <v>2167</v>
      </c>
      <c r="C1711" t="s">
        <v>2169</v>
      </c>
      <c r="D1711">
        <v>51</v>
      </c>
      <c r="E1711" t="s">
        <v>1447</v>
      </c>
      <c r="F1711" t="s">
        <v>2171</v>
      </c>
      <c r="G1711" t="s">
        <v>1797</v>
      </c>
      <c r="H1711" t="s">
        <v>2100</v>
      </c>
      <c r="I1711" t="s">
        <v>1799</v>
      </c>
      <c r="J1711" t="s">
        <v>1799</v>
      </c>
      <c r="K1711" t="s">
        <v>1799</v>
      </c>
      <c r="L1711" t="s">
        <v>1799</v>
      </c>
      <c r="M1711" t="s">
        <v>1799</v>
      </c>
      <c r="N1711" t="s">
        <v>1799</v>
      </c>
      <c r="O1711" s="184" t="str">
        <f>"["&amp;$C1711&amp;"]["&amp;$D1711&amp;"]["&amp;$F1711&amp;"]"</f>
        <v>[S05_InherentCarbonTransferredDetail][51][InstallationIdTransferring]</v>
      </c>
    </row>
    <row r="1712" spans="1:15" x14ac:dyDescent="0.3">
      <c r="A1712" t="s">
        <v>1793</v>
      </c>
      <c r="B1712" t="s">
        <v>2167</v>
      </c>
      <c r="C1712" t="s">
        <v>2169</v>
      </c>
      <c r="D1712">
        <v>52</v>
      </c>
      <c r="E1712" t="s">
        <v>1447</v>
      </c>
      <c r="F1712" t="s">
        <v>2171</v>
      </c>
      <c r="G1712" t="s">
        <v>1797</v>
      </c>
      <c r="H1712" t="s">
        <v>2185</v>
      </c>
      <c r="I1712" t="s">
        <v>1799</v>
      </c>
      <c r="J1712" t="s">
        <v>1799</v>
      </c>
      <c r="K1712" t="s">
        <v>1799</v>
      </c>
      <c r="L1712" t="s">
        <v>1799</v>
      </c>
      <c r="M1712" t="s">
        <v>1799</v>
      </c>
      <c r="N1712" t="s">
        <v>1799</v>
      </c>
      <c r="O1712" s="184" t="str">
        <f>"["&amp;$C1712&amp;"]["&amp;$D1712&amp;"]["&amp;$F1712&amp;"]"</f>
        <v>[S05_InherentCarbonTransferredDetail][52][InstallationIdTransferring]</v>
      </c>
    </row>
    <row r="1713" spans="1:15" x14ac:dyDescent="0.3">
      <c r="A1713" t="s">
        <v>1793</v>
      </c>
      <c r="B1713" t="s">
        <v>2167</v>
      </c>
      <c r="C1713" t="s">
        <v>2169</v>
      </c>
      <c r="D1713">
        <v>53</v>
      </c>
      <c r="E1713" t="s">
        <v>1447</v>
      </c>
      <c r="F1713" t="s">
        <v>2171</v>
      </c>
      <c r="G1713" t="s">
        <v>1797</v>
      </c>
      <c r="H1713" t="s">
        <v>2185</v>
      </c>
      <c r="I1713" t="s">
        <v>1799</v>
      </c>
      <c r="J1713" t="s">
        <v>1799</v>
      </c>
      <c r="K1713" t="s">
        <v>1799</v>
      </c>
      <c r="L1713" t="s">
        <v>1799</v>
      </c>
      <c r="M1713" t="s">
        <v>1799</v>
      </c>
      <c r="N1713" t="s">
        <v>1799</v>
      </c>
      <c r="O1713" s="184" t="str">
        <f>"["&amp;$C1713&amp;"]["&amp;$D1713&amp;"]["&amp;$F1713&amp;"]"</f>
        <v>[S05_InherentCarbonTransferredDetail][53][InstallationIdTransferring]</v>
      </c>
    </row>
    <row r="1714" spans="1:15" x14ac:dyDescent="0.3">
      <c r="A1714" t="s">
        <v>1793</v>
      </c>
      <c r="B1714" t="s">
        <v>2167</v>
      </c>
      <c r="C1714" t="s">
        <v>2169</v>
      </c>
      <c r="D1714">
        <v>54</v>
      </c>
      <c r="E1714" t="s">
        <v>1447</v>
      </c>
      <c r="F1714" t="s">
        <v>2171</v>
      </c>
      <c r="G1714" t="s">
        <v>1797</v>
      </c>
      <c r="H1714" t="s">
        <v>2185</v>
      </c>
      <c r="I1714" t="s">
        <v>1799</v>
      </c>
      <c r="J1714" t="s">
        <v>1799</v>
      </c>
      <c r="K1714" t="s">
        <v>1799</v>
      </c>
      <c r="L1714" t="s">
        <v>1799</v>
      </c>
      <c r="M1714" t="s">
        <v>1799</v>
      </c>
      <c r="N1714" t="s">
        <v>1799</v>
      </c>
      <c r="O1714" s="184" t="str">
        <f>"["&amp;$C1714&amp;"]["&amp;$D1714&amp;"]["&amp;$F1714&amp;"]"</f>
        <v>[S05_InherentCarbonTransferredDetail][54][InstallationIdTransferring]</v>
      </c>
    </row>
    <row r="1715" spans="1:15" x14ac:dyDescent="0.3">
      <c r="A1715" t="s">
        <v>1793</v>
      </c>
      <c r="B1715" t="s">
        <v>2167</v>
      </c>
      <c r="C1715" t="s">
        <v>2169</v>
      </c>
      <c r="D1715">
        <v>55</v>
      </c>
      <c r="E1715" t="s">
        <v>1447</v>
      </c>
      <c r="F1715" t="s">
        <v>2171</v>
      </c>
      <c r="G1715" t="s">
        <v>1797</v>
      </c>
      <c r="H1715" t="s">
        <v>2185</v>
      </c>
      <c r="I1715" t="s">
        <v>1799</v>
      </c>
      <c r="J1715" t="s">
        <v>1799</v>
      </c>
      <c r="K1715" t="s">
        <v>1799</v>
      </c>
      <c r="L1715" t="s">
        <v>1799</v>
      </c>
      <c r="M1715" t="s">
        <v>1799</v>
      </c>
      <c r="N1715" t="s">
        <v>1799</v>
      </c>
      <c r="O1715" s="184" t="str">
        <f>"["&amp;$C1715&amp;"]["&amp;$D1715&amp;"]["&amp;$F1715&amp;"]"</f>
        <v>[S05_InherentCarbonTransferredDetail][55][InstallationIdTransferring]</v>
      </c>
    </row>
    <row r="1716" spans="1:15" x14ac:dyDescent="0.3">
      <c r="A1716" t="s">
        <v>1793</v>
      </c>
      <c r="B1716" t="s">
        <v>2167</v>
      </c>
      <c r="C1716" t="s">
        <v>2169</v>
      </c>
      <c r="D1716">
        <v>56</v>
      </c>
      <c r="E1716" t="s">
        <v>1447</v>
      </c>
      <c r="F1716" t="s">
        <v>2171</v>
      </c>
      <c r="G1716" t="s">
        <v>1797</v>
      </c>
      <c r="H1716" t="s">
        <v>2185</v>
      </c>
      <c r="I1716" t="s">
        <v>1799</v>
      </c>
      <c r="J1716" t="s">
        <v>1799</v>
      </c>
      <c r="K1716" t="s">
        <v>1799</v>
      </c>
      <c r="L1716" t="s">
        <v>1799</v>
      </c>
      <c r="M1716" t="s">
        <v>1799</v>
      </c>
      <c r="N1716" t="s">
        <v>1799</v>
      </c>
      <c r="O1716" s="184" t="str">
        <f>"["&amp;$C1716&amp;"]["&amp;$D1716&amp;"]["&amp;$F1716&amp;"]"</f>
        <v>[S05_InherentCarbonTransferredDetail][56][InstallationIdTransferring]</v>
      </c>
    </row>
    <row r="1717" spans="1:15" x14ac:dyDescent="0.3">
      <c r="A1717" t="s">
        <v>1793</v>
      </c>
      <c r="B1717" t="s">
        <v>2167</v>
      </c>
      <c r="C1717" t="s">
        <v>2169</v>
      </c>
      <c r="D1717">
        <v>57</v>
      </c>
      <c r="E1717" t="s">
        <v>1447</v>
      </c>
      <c r="F1717" t="s">
        <v>2171</v>
      </c>
      <c r="G1717" t="s">
        <v>1797</v>
      </c>
      <c r="H1717" t="s">
        <v>2185</v>
      </c>
      <c r="I1717" t="s">
        <v>1799</v>
      </c>
      <c r="J1717" t="s">
        <v>1799</v>
      </c>
      <c r="K1717" t="s">
        <v>1799</v>
      </c>
      <c r="L1717" t="s">
        <v>1799</v>
      </c>
      <c r="M1717" t="s">
        <v>1799</v>
      </c>
      <c r="N1717" t="s">
        <v>1799</v>
      </c>
      <c r="O1717" s="184" t="str">
        <f>"["&amp;$C1717&amp;"]["&amp;$D1717&amp;"]["&amp;$F1717&amp;"]"</f>
        <v>[S05_InherentCarbonTransferredDetail][57][InstallationIdTransferring]</v>
      </c>
    </row>
    <row r="1718" spans="1:15" x14ac:dyDescent="0.3">
      <c r="A1718" t="s">
        <v>1793</v>
      </c>
      <c r="B1718" t="s">
        <v>2167</v>
      </c>
      <c r="C1718" t="s">
        <v>2169</v>
      </c>
      <c r="D1718">
        <v>58</v>
      </c>
      <c r="E1718" t="s">
        <v>1447</v>
      </c>
      <c r="F1718" t="s">
        <v>2171</v>
      </c>
      <c r="G1718" t="s">
        <v>1797</v>
      </c>
      <c r="H1718" t="s">
        <v>2186</v>
      </c>
      <c r="I1718" t="s">
        <v>1799</v>
      </c>
      <c r="J1718" t="s">
        <v>1799</v>
      </c>
      <c r="K1718" t="s">
        <v>1799</v>
      </c>
      <c r="L1718" t="s">
        <v>1799</v>
      </c>
      <c r="M1718" t="s">
        <v>1799</v>
      </c>
      <c r="N1718" t="s">
        <v>1799</v>
      </c>
      <c r="O1718" s="184" t="str">
        <f>"["&amp;$C1718&amp;"]["&amp;$D1718&amp;"]["&amp;$F1718&amp;"]"</f>
        <v>[S05_InherentCarbonTransferredDetail][58][InstallationIdTransferring]</v>
      </c>
    </row>
    <row r="1719" spans="1:15" x14ac:dyDescent="0.3">
      <c r="A1719" t="s">
        <v>1793</v>
      </c>
      <c r="B1719" t="s">
        <v>2167</v>
      </c>
      <c r="C1719" t="s">
        <v>2169</v>
      </c>
      <c r="D1719">
        <v>59</v>
      </c>
      <c r="E1719" t="s">
        <v>1447</v>
      </c>
      <c r="F1719" t="s">
        <v>2171</v>
      </c>
      <c r="G1719" t="s">
        <v>1797</v>
      </c>
      <c r="H1719" t="s">
        <v>2186</v>
      </c>
      <c r="I1719" t="s">
        <v>1799</v>
      </c>
      <c r="J1719" t="s">
        <v>1799</v>
      </c>
      <c r="K1719" t="s">
        <v>1799</v>
      </c>
      <c r="L1719" t="s">
        <v>1799</v>
      </c>
      <c r="M1719" t="s">
        <v>1799</v>
      </c>
      <c r="N1719" t="s">
        <v>1799</v>
      </c>
      <c r="O1719" s="184" t="str">
        <f>"["&amp;$C1719&amp;"]["&amp;$D1719&amp;"]["&amp;$F1719&amp;"]"</f>
        <v>[S05_InherentCarbonTransferredDetail][59][InstallationIdTransferring]</v>
      </c>
    </row>
    <row r="1720" spans="1:15" x14ac:dyDescent="0.3">
      <c r="A1720" t="s">
        <v>1793</v>
      </c>
      <c r="B1720" t="s">
        <v>2167</v>
      </c>
      <c r="C1720" t="s">
        <v>2169</v>
      </c>
      <c r="D1720">
        <v>60</v>
      </c>
      <c r="E1720" t="s">
        <v>1447</v>
      </c>
      <c r="F1720" t="s">
        <v>2171</v>
      </c>
      <c r="G1720" t="s">
        <v>1797</v>
      </c>
      <c r="H1720" t="s">
        <v>2187</v>
      </c>
      <c r="I1720" t="s">
        <v>1799</v>
      </c>
      <c r="J1720" t="s">
        <v>1799</v>
      </c>
      <c r="K1720" t="s">
        <v>1799</v>
      </c>
      <c r="L1720" t="s">
        <v>1799</v>
      </c>
      <c r="M1720" t="s">
        <v>1799</v>
      </c>
      <c r="N1720" t="s">
        <v>1799</v>
      </c>
      <c r="O1720" s="184" t="str">
        <f>"["&amp;$C1720&amp;"]["&amp;$D1720&amp;"]["&amp;$F1720&amp;"]"</f>
        <v>[S05_InherentCarbonTransferredDetail][60][InstallationIdTransferring]</v>
      </c>
    </row>
    <row r="1721" spans="1:15" x14ac:dyDescent="0.3">
      <c r="A1721" t="s">
        <v>1793</v>
      </c>
      <c r="B1721" t="s">
        <v>2167</v>
      </c>
      <c r="C1721" t="s">
        <v>2169</v>
      </c>
      <c r="D1721">
        <v>61</v>
      </c>
      <c r="E1721" t="s">
        <v>1447</v>
      </c>
      <c r="F1721" t="s">
        <v>2171</v>
      </c>
      <c r="G1721" t="s">
        <v>1797</v>
      </c>
      <c r="H1721" t="s">
        <v>2188</v>
      </c>
      <c r="I1721" t="s">
        <v>1799</v>
      </c>
      <c r="J1721" t="s">
        <v>1799</v>
      </c>
      <c r="K1721" t="s">
        <v>1799</v>
      </c>
      <c r="L1721" t="s">
        <v>1799</v>
      </c>
      <c r="M1721" t="s">
        <v>1799</v>
      </c>
      <c r="N1721" t="s">
        <v>1799</v>
      </c>
      <c r="O1721" s="184" t="str">
        <f>"["&amp;$C1721&amp;"]["&amp;$D1721&amp;"]["&amp;$F1721&amp;"]"</f>
        <v>[S05_InherentCarbonTransferredDetail][61][InstallationIdTransferring]</v>
      </c>
    </row>
    <row r="1722" spans="1:15" x14ac:dyDescent="0.3">
      <c r="A1722" t="s">
        <v>1793</v>
      </c>
      <c r="B1722" t="s">
        <v>2167</v>
      </c>
      <c r="C1722" t="s">
        <v>2169</v>
      </c>
      <c r="D1722">
        <v>62</v>
      </c>
      <c r="E1722" t="s">
        <v>1447</v>
      </c>
      <c r="F1722" t="s">
        <v>2171</v>
      </c>
      <c r="G1722" t="s">
        <v>1797</v>
      </c>
      <c r="H1722" t="s">
        <v>2189</v>
      </c>
      <c r="I1722" t="s">
        <v>1799</v>
      </c>
      <c r="J1722" t="s">
        <v>1799</v>
      </c>
      <c r="K1722" t="s">
        <v>1799</v>
      </c>
      <c r="L1722" t="s">
        <v>1799</v>
      </c>
      <c r="M1722" t="s">
        <v>1799</v>
      </c>
      <c r="N1722" t="s">
        <v>1799</v>
      </c>
      <c r="O1722" s="184" t="str">
        <f>"["&amp;$C1722&amp;"]["&amp;$D1722&amp;"]["&amp;$F1722&amp;"]"</f>
        <v>[S05_InherentCarbonTransferredDetail][62][InstallationIdTransferring]</v>
      </c>
    </row>
    <row r="1723" spans="1:15" x14ac:dyDescent="0.3">
      <c r="A1723" t="s">
        <v>1793</v>
      </c>
      <c r="B1723" t="s">
        <v>2167</v>
      </c>
      <c r="C1723" t="s">
        <v>2169</v>
      </c>
      <c r="D1723">
        <v>63</v>
      </c>
      <c r="E1723" t="s">
        <v>1447</v>
      </c>
      <c r="F1723" t="s">
        <v>2171</v>
      </c>
      <c r="G1723" t="s">
        <v>1797</v>
      </c>
      <c r="H1723" t="s">
        <v>2190</v>
      </c>
      <c r="I1723" t="s">
        <v>1799</v>
      </c>
      <c r="J1723" t="s">
        <v>1799</v>
      </c>
      <c r="K1723" t="s">
        <v>1799</v>
      </c>
      <c r="L1723" t="s">
        <v>1799</v>
      </c>
      <c r="M1723" t="s">
        <v>1799</v>
      </c>
      <c r="N1723" t="s">
        <v>1799</v>
      </c>
      <c r="O1723" s="184" t="str">
        <f>"["&amp;$C1723&amp;"]["&amp;$D1723&amp;"]["&amp;$F1723&amp;"]"</f>
        <v>[S05_InherentCarbonTransferredDetail][63][InstallationIdTransferring]</v>
      </c>
    </row>
    <row r="1724" spans="1:15" x14ac:dyDescent="0.3">
      <c r="A1724" t="s">
        <v>1793</v>
      </c>
      <c r="B1724" t="s">
        <v>2167</v>
      </c>
      <c r="C1724" t="s">
        <v>2169</v>
      </c>
      <c r="D1724">
        <v>64</v>
      </c>
      <c r="E1724" t="s">
        <v>1447</v>
      </c>
      <c r="F1724" t="s">
        <v>2171</v>
      </c>
      <c r="G1724" t="s">
        <v>1797</v>
      </c>
      <c r="H1724" t="s">
        <v>2191</v>
      </c>
      <c r="I1724" t="s">
        <v>1799</v>
      </c>
      <c r="J1724" t="s">
        <v>1799</v>
      </c>
      <c r="K1724" t="s">
        <v>1799</v>
      </c>
      <c r="L1724" t="s">
        <v>1799</v>
      </c>
      <c r="M1724" t="s">
        <v>1799</v>
      </c>
      <c r="N1724" t="s">
        <v>1799</v>
      </c>
      <c r="O1724" s="184" t="str">
        <f>"["&amp;$C1724&amp;"]["&amp;$D1724&amp;"]["&amp;$F1724&amp;"]"</f>
        <v>[S05_InherentCarbonTransferredDetail][64][InstallationIdTransferring]</v>
      </c>
    </row>
    <row r="1725" spans="1:15" x14ac:dyDescent="0.3">
      <c r="A1725" t="s">
        <v>1793</v>
      </c>
      <c r="B1725" t="s">
        <v>2167</v>
      </c>
      <c r="C1725" t="s">
        <v>2169</v>
      </c>
      <c r="D1725">
        <v>65</v>
      </c>
      <c r="E1725" t="s">
        <v>1447</v>
      </c>
      <c r="F1725" t="s">
        <v>2171</v>
      </c>
      <c r="G1725" t="s">
        <v>1797</v>
      </c>
      <c r="H1725" t="s">
        <v>2177</v>
      </c>
      <c r="I1725" t="s">
        <v>1799</v>
      </c>
      <c r="J1725" t="s">
        <v>1799</v>
      </c>
      <c r="K1725" t="s">
        <v>1799</v>
      </c>
      <c r="L1725" t="s">
        <v>1799</v>
      </c>
      <c r="M1725" t="s">
        <v>1799</v>
      </c>
      <c r="N1725" t="s">
        <v>1799</v>
      </c>
      <c r="O1725" s="184" t="str">
        <f>"["&amp;$C1725&amp;"]["&amp;$D1725&amp;"]["&amp;$F1725&amp;"]"</f>
        <v>[S05_InherentCarbonTransferredDetail][65][InstallationIdTransferring]</v>
      </c>
    </row>
    <row r="1726" spans="1:15" x14ac:dyDescent="0.3">
      <c r="A1726" t="s">
        <v>1793</v>
      </c>
      <c r="B1726" t="s">
        <v>2167</v>
      </c>
      <c r="C1726" t="s">
        <v>2169</v>
      </c>
      <c r="D1726">
        <v>66</v>
      </c>
      <c r="E1726" t="s">
        <v>1447</v>
      </c>
      <c r="F1726" t="s">
        <v>2171</v>
      </c>
      <c r="G1726" t="s">
        <v>1797</v>
      </c>
      <c r="H1726" t="s">
        <v>2192</v>
      </c>
      <c r="I1726" t="s">
        <v>1799</v>
      </c>
      <c r="J1726" t="s">
        <v>1799</v>
      </c>
      <c r="K1726" t="s">
        <v>1799</v>
      </c>
      <c r="L1726" t="s">
        <v>1799</v>
      </c>
      <c r="M1726" t="s">
        <v>1799</v>
      </c>
      <c r="N1726" t="s">
        <v>1799</v>
      </c>
      <c r="O1726" s="184" t="str">
        <f>"["&amp;$C1726&amp;"]["&amp;$D1726&amp;"]["&amp;$F1726&amp;"]"</f>
        <v>[S05_InherentCarbonTransferredDetail][66][InstallationIdTransferring]</v>
      </c>
    </row>
    <row r="1727" spans="1:15" x14ac:dyDescent="0.3">
      <c r="A1727" t="s">
        <v>1793</v>
      </c>
      <c r="B1727" t="s">
        <v>2167</v>
      </c>
      <c r="C1727" t="s">
        <v>2169</v>
      </c>
      <c r="D1727">
        <v>67</v>
      </c>
      <c r="E1727" t="s">
        <v>1447</v>
      </c>
      <c r="F1727" t="s">
        <v>2171</v>
      </c>
      <c r="G1727" t="s">
        <v>1797</v>
      </c>
      <c r="H1727" t="s">
        <v>2193</v>
      </c>
      <c r="I1727" t="s">
        <v>1799</v>
      </c>
      <c r="J1727" t="s">
        <v>1799</v>
      </c>
      <c r="K1727" t="s">
        <v>1799</v>
      </c>
      <c r="L1727" t="s">
        <v>1799</v>
      </c>
      <c r="M1727" t="s">
        <v>1799</v>
      </c>
      <c r="N1727" t="s">
        <v>1799</v>
      </c>
      <c r="O1727" s="184" t="str">
        <f>"["&amp;$C1727&amp;"]["&amp;$D1727&amp;"]["&amp;$F1727&amp;"]"</f>
        <v>[S05_InherentCarbonTransferredDetail][67][InstallationIdTransferring]</v>
      </c>
    </row>
    <row r="1728" spans="1:15" x14ac:dyDescent="0.3">
      <c r="A1728" t="s">
        <v>1793</v>
      </c>
      <c r="B1728" t="s">
        <v>2167</v>
      </c>
      <c r="C1728" t="s">
        <v>2169</v>
      </c>
      <c r="D1728">
        <v>68</v>
      </c>
      <c r="E1728" t="s">
        <v>1447</v>
      </c>
      <c r="F1728" t="s">
        <v>2171</v>
      </c>
      <c r="G1728" t="s">
        <v>1797</v>
      </c>
      <c r="H1728" t="s">
        <v>2193</v>
      </c>
      <c r="I1728" t="s">
        <v>1799</v>
      </c>
      <c r="J1728" t="s">
        <v>1799</v>
      </c>
      <c r="K1728" t="s">
        <v>1799</v>
      </c>
      <c r="L1728" t="s">
        <v>1799</v>
      </c>
      <c r="M1728" t="s">
        <v>1799</v>
      </c>
      <c r="N1728" t="s">
        <v>1799</v>
      </c>
      <c r="O1728" s="184" t="str">
        <f>"["&amp;$C1728&amp;"]["&amp;$D1728&amp;"]["&amp;$F1728&amp;"]"</f>
        <v>[S05_InherentCarbonTransferredDetail][68][InstallationIdTransferring]</v>
      </c>
    </row>
    <row r="1729" spans="1:15" x14ac:dyDescent="0.3">
      <c r="A1729" t="s">
        <v>1793</v>
      </c>
      <c r="B1729" t="s">
        <v>2167</v>
      </c>
      <c r="C1729" t="s">
        <v>2169</v>
      </c>
      <c r="D1729">
        <v>69</v>
      </c>
      <c r="E1729" t="s">
        <v>1447</v>
      </c>
      <c r="F1729" t="s">
        <v>2171</v>
      </c>
      <c r="G1729" t="s">
        <v>1797</v>
      </c>
      <c r="H1729" t="s">
        <v>2194</v>
      </c>
      <c r="I1729" t="s">
        <v>1799</v>
      </c>
      <c r="J1729" t="s">
        <v>1799</v>
      </c>
      <c r="K1729" t="s">
        <v>1799</v>
      </c>
      <c r="L1729" t="s">
        <v>1799</v>
      </c>
      <c r="M1729" t="s">
        <v>1799</v>
      </c>
      <c r="N1729" t="s">
        <v>1799</v>
      </c>
      <c r="O1729" s="184" t="str">
        <f>"["&amp;$C1729&amp;"]["&amp;$D1729&amp;"]["&amp;$F1729&amp;"]"</f>
        <v>[S05_InherentCarbonTransferredDetail][69][InstallationIdTransferring]</v>
      </c>
    </row>
    <row r="1730" spans="1:15" x14ac:dyDescent="0.3">
      <c r="A1730" t="s">
        <v>1793</v>
      </c>
      <c r="B1730" t="s">
        <v>2167</v>
      </c>
      <c r="C1730" t="s">
        <v>2169</v>
      </c>
      <c r="D1730">
        <v>70</v>
      </c>
      <c r="E1730" t="s">
        <v>1447</v>
      </c>
      <c r="F1730" t="s">
        <v>2171</v>
      </c>
      <c r="G1730" t="s">
        <v>1797</v>
      </c>
      <c r="H1730" t="s">
        <v>2195</v>
      </c>
      <c r="I1730" t="s">
        <v>1799</v>
      </c>
      <c r="J1730" t="s">
        <v>1799</v>
      </c>
      <c r="K1730" t="s">
        <v>1799</v>
      </c>
      <c r="L1730" t="s">
        <v>1799</v>
      </c>
      <c r="M1730" t="s">
        <v>1799</v>
      </c>
      <c r="N1730" t="s">
        <v>1799</v>
      </c>
      <c r="O1730" s="184" t="str">
        <f>"["&amp;$C1730&amp;"]["&amp;$D1730&amp;"]["&amp;$F1730&amp;"]"</f>
        <v>[S05_InherentCarbonTransferredDetail][70][InstallationIdTransferring]</v>
      </c>
    </row>
    <row r="1731" spans="1:15" x14ac:dyDescent="0.3">
      <c r="A1731" t="s">
        <v>1793</v>
      </c>
      <c r="B1731" t="s">
        <v>2167</v>
      </c>
      <c r="C1731" t="s">
        <v>2169</v>
      </c>
      <c r="D1731">
        <v>71</v>
      </c>
      <c r="E1731" t="s">
        <v>1447</v>
      </c>
      <c r="F1731" t="s">
        <v>2171</v>
      </c>
      <c r="G1731" t="s">
        <v>1797</v>
      </c>
      <c r="H1731" t="s">
        <v>2196</v>
      </c>
      <c r="I1731" t="s">
        <v>1799</v>
      </c>
      <c r="J1731" t="s">
        <v>1799</v>
      </c>
      <c r="K1731" t="s">
        <v>1799</v>
      </c>
      <c r="L1731" t="s">
        <v>1799</v>
      </c>
      <c r="M1731" t="s">
        <v>1799</v>
      </c>
      <c r="N1731" t="s">
        <v>1799</v>
      </c>
      <c r="O1731" s="184" t="str">
        <f>"["&amp;$C1731&amp;"]["&amp;$D1731&amp;"]["&amp;$F1731&amp;"]"</f>
        <v>[S05_InherentCarbonTransferredDetail][71][InstallationIdTransferring]</v>
      </c>
    </row>
    <row r="1732" spans="1:15" x14ac:dyDescent="0.3">
      <c r="A1732" t="s">
        <v>1793</v>
      </c>
      <c r="B1732" t="s">
        <v>2167</v>
      </c>
      <c r="C1732" t="s">
        <v>2169</v>
      </c>
      <c r="D1732">
        <v>72</v>
      </c>
      <c r="E1732" t="s">
        <v>1447</v>
      </c>
      <c r="F1732" t="s">
        <v>2171</v>
      </c>
      <c r="G1732" t="s">
        <v>1797</v>
      </c>
      <c r="H1732" t="s">
        <v>2197</v>
      </c>
      <c r="I1732" t="s">
        <v>1799</v>
      </c>
      <c r="J1732" t="s">
        <v>1799</v>
      </c>
      <c r="K1732" t="s">
        <v>1799</v>
      </c>
      <c r="L1732" t="s">
        <v>1799</v>
      </c>
      <c r="M1732" t="s">
        <v>1799</v>
      </c>
      <c r="N1732" t="s">
        <v>1799</v>
      </c>
      <c r="O1732" s="184" t="str">
        <f>"["&amp;$C1732&amp;"]["&amp;$D1732&amp;"]["&amp;$F1732&amp;"]"</f>
        <v>[S05_InherentCarbonTransferredDetail][72][InstallationIdTransferring]</v>
      </c>
    </row>
    <row r="1733" spans="1:15" x14ac:dyDescent="0.3">
      <c r="A1733" t="s">
        <v>1793</v>
      </c>
      <c r="B1733" t="s">
        <v>2167</v>
      </c>
      <c r="C1733" t="s">
        <v>2169</v>
      </c>
      <c r="D1733">
        <v>73</v>
      </c>
      <c r="E1733" t="s">
        <v>1447</v>
      </c>
      <c r="F1733" t="s">
        <v>2171</v>
      </c>
      <c r="G1733" t="s">
        <v>1797</v>
      </c>
      <c r="H1733" t="s">
        <v>2198</v>
      </c>
      <c r="I1733" t="s">
        <v>1799</v>
      </c>
      <c r="J1733" t="s">
        <v>1799</v>
      </c>
      <c r="K1733" t="s">
        <v>1799</v>
      </c>
      <c r="L1733" t="s">
        <v>1799</v>
      </c>
      <c r="M1733" t="s">
        <v>1799</v>
      </c>
      <c r="N1733" t="s">
        <v>1799</v>
      </c>
      <c r="O1733" s="184" t="str">
        <f>"["&amp;$C1733&amp;"]["&amp;$D1733&amp;"]["&amp;$F1733&amp;"]"</f>
        <v>[S05_InherentCarbonTransferredDetail][73][InstallationIdTransferring]</v>
      </c>
    </row>
    <row r="1734" spans="1:15" x14ac:dyDescent="0.3">
      <c r="A1734" t="s">
        <v>1793</v>
      </c>
      <c r="B1734" t="s">
        <v>2167</v>
      </c>
      <c r="C1734" t="s">
        <v>2169</v>
      </c>
      <c r="D1734">
        <v>74</v>
      </c>
      <c r="E1734" t="s">
        <v>1447</v>
      </c>
      <c r="F1734" t="s">
        <v>2171</v>
      </c>
      <c r="G1734" t="s">
        <v>1797</v>
      </c>
      <c r="H1734" t="s">
        <v>2199</v>
      </c>
      <c r="I1734" t="s">
        <v>1799</v>
      </c>
      <c r="J1734" t="s">
        <v>1799</v>
      </c>
      <c r="K1734" t="s">
        <v>1799</v>
      </c>
      <c r="L1734" t="s">
        <v>1799</v>
      </c>
      <c r="M1734" t="s">
        <v>1799</v>
      </c>
      <c r="N1734" t="s">
        <v>1799</v>
      </c>
      <c r="O1734" s="184" t="str">
        <f>"["&amp;$C1734&amp;"]["&amp;$D1734&amp;"]["&amp;$F1734&amp;"]"</f>
        <v>[S05_InherentCarbonTransferredDetail][74][InstallationIdTransferring]</v>
      </c>
    </row>
    <row r="1735" spans="1:15" x14ac:dyDescent="0.3">
      <c r="A1735" t="s">
        <v>1793</v>
      </c>
      <c r="B1735" t="s">
        <v>2167</v>
      </c>
      <c r="C1735" t="s">
        <v>2169</v>
      </c>
      <c r="D1735">
        <v>75</v>
      </c>
      <c r="E1735" t="s">
        <v>1447</v>
      </c>
      <c r="F1735" t="s">
        <v>2171</v>
      </c>
      <c r="G1735" t="s">
        <v>1797</v>
      </c>
      <c r="H1735" t="s">
        <v>2200</v>
      </c>
      <c r="I1735" t="s">
        <v>1799</v>
      </c>
      <c r="J1735" t="s">
        <v>1799</v>
      </c>
      <c r="K1735" t="s">
        <v>1799</v>
      </c>
      <c r="L1735" t="s">
        <v>1799</v>
      </c>
      <c r="M1735" t="s">
        <v>1799</v>
      </c>
      <c r="N1735" t="s">
        <v>1799</v>
      </c>
      <c r="O1735" s="184" t="str">
        <f>"["&amp;$C1735&amp;"]["&amp;$D1735&amp;"]["&amp;$F1735&amp;"]"</f>
        <v>[S05_InherentCarbonTransferredDetail][75][InstallationIdTransferring]</v>
      </c>
    </row>
    <row r="1736" spans="1:15" x14ac:dyDescent="0.3">
      <c r="A1736" t="s">
        <v>1793</v>
      </c>
      <c r="B1736" t="s">
        <v>2167</v>
      </c>
      <c r="C1736" t="s">
        <v>2169</v>
      </c>
      <c r="D1736">
        <v>76</v>
      </c>
      <c r="E1736" t="s">
        <v>1447</v>
      </c>
      <c r="F1736" t="s">
        <v>2171</v>
      </c>
      <c r="G1736" t="s">
        <v>1797</v>
      </c>
      <c r="H1736" t="s">
        <v>2201</v>
      </c>
      <c r="I1736" t="s">
        <v>1799</v>
      </c>
      <c r="J1736" t="s">
        <v>1799</v>
      </c>
      <c r="K1736" t="s">
        <v>1799</v>
      </c>
      <c r="L1736" t="s">
        <v>1799</v>
      </c>
      <c r="M1736" t="s">
        <v>1799</v>
      </c>
      <c r="N1736" t="s">
        <v>1799</v>
      </c>
      <c r="O1736" s="184" t="str">
        <f>"["&amp;$C1736&amp;"]["&amp;$D1736&amp;"]["&amp;$F1736&amp;"]"</f>
        <v>[S05_InherentCarbonTransferredDetail][76][InstallationIdTransferring]</v>
      </c>
    </row>
    <row r="1737" spans="1:15" x14ac:dyDescent="0.3">
      <c r="A1737" t="s">
        <v>1793</v>
      </c>
      <c r="B1737" t="s">
        <v>2167</v>
      </c>
      <c r="C1737" t="s">
        <v>2169</v>
      </c>
      <c r="D1737">
        <v>77</v>
      </c>
      <c r="E1737" t="s">
        <v>1447</v>
      </c>
      <c r="F1737" t="s">
        <v>2171</v>
      </c>
      <c r="G1737" t="s">
        <v>1797</v>
      </c>
      <c r="H1737" t="s">
        <v>2202</v>
      </c>
      <c r="I1737" t="s">
        <v>1799</v>
      </c>
      <c r="J1737" t="s">
        <v>1799</v>
      </c>
      <c r="K1737" t="s">
        <v>1799</v>
      </c>
      <c r="L1737" t="s">
        <v>1799</v>
      </c>
      <c r="M1737" t="s">
        <v>1799</v>
      </c>
      <c r="N1737" t="s">
        <v>1799</v>
      </c>
      <c r="O1737" s="184" t="str">
        <f>"["&amp;$C1737&amp;"]["&amp;$D1737&amp;"]["&amp;$F1737&amp;"]"</f>
        <v>[S05_InherentCarbonTransferredDetail][77][InstallationIdTransferring]</v>
      </c>
    </row>
    <row r="1738" spans="1:15" x14ac:dyDescent="0.3">
      <c r="A1738" t="s">
        <v>1793</v>
      </c>
      <c r="B1738" t="s">
        <v>2167</v>
      </c>
      <c r="C1738" t="s">
        <v>2169</v>
      </c>
      <c r="D1738">
        <v>78</v>
      </c>
      <c r="E1738" t="s">
        <v>1447</v>
      </c>
      <c r="F1738" t="s">
        <v>2171</v>
      </c>
      <c r="G1738" t="s">
        <v>1797</v>
      </c>
      <c r="H1738" t="s">
        <v>2203</v>
      </c>
      <c r="I1738" t="s">
        <v>1799</v>
      </c>
      <c r="J1738" t="s">
        <v>1799</v>
      </c>
      <c r="K1738" t="s">
        <v>1799</v>
      </c>
      <c r="L1738" t="s">
        <v>1799</v>
      </c>
      <c r="M1738" t="s">
        <v>1799</v>
      </c>
      <c r="N1738" t="s">
        <v>1799</v>
      </c>
      <c r="O1738" s="184" t="str">
        <f>"["&amp;$C1738&amp;"]["&amp;$D1738&amp;"]["&amp;$F1738&amp;"]"</f>
        <v>[S05_InherentCarbonTransferredDetail][78][InstallationIdTransferring]</v>
      </c>
    </row>
    <row r="1739" spans="1:15" x14ac:dyDescent="0.3">
      <c r="A1739" t="s">
        <v>1793</v>
      </c>
      <c r="B1739" t="s">
        <v>2167</v>
      </c>
      <c r="C1739" t="s">
        <v>2169</v>
      </c>
      <c r="D1739">
        <v>79</v>
      </c>
      <c r="E1739" t="s">
        <v>1447</v>
      </c>
      <c r="F1739" t="s">
        <v>2171</v>
      </c>
      <c r="G1739" t="s">
        <v>1797</v>
      </c>
      <c r="H1739" t="s">
        <v>2204</v>
      </c>
      <c r="I1739" t="s">
        <v>1799</v>
      </c>
      <c r="J1739" t="s">
        <v>1799</v>
      </c>
      <c r="K1739" t="s">
        <v>1799</v>
      </c>
      <c r="L1739" t="s">
        <v>1799</v>
      </c>
      <c r="M1739" t="s">
        <v>1799</v>
      </c>
      <c r="N1739" t="s">
        <v>1799</v>
      </c>
      <c r="O1739" s="184" t="str">
        <f>"["&amp;$C1739&amp;"]["&amp;$D1739&amp;"]["&amp;$F1739&amp;"]"</f>
        <v>[S05_InherentCarbonTransferredDetail][79][InstallationIdTransferring]</v>
      </c>
    </row>
    <row r="1740" spans="1:15" x14ac:dyDescent="0.3">
      <c r="A1740" t="s">
        <v>1793</v>
      </c>
      <c r="B1740" t="s">
        <v>2167</v>
      </c>
      <c r="C1740" t="s">
        <v>2169</v>
      </c>
      <c r="D1740">
        <v>80</v>
      </c>
      <c r="E1740" t="s">
        <v>1447</v>
      </c>
      <c r="F1740" t="s">
        <v>2171</v>
      </c>
      <c r="G1740" t="s">
        <v>1797</v>
      </c>
      <c r="H1740" t="s">
        <v>2204</v>
      </c>
      <c r="I1740" t="s">
        <v>1799</v>
      </c>
      <c r="J1740" t="s">
        <v>1799</v>
      </c>
      <c r="K1740" t="s">
        <v>1799</v>
      </c>
      <c r="L1740" t="s">
        <v>1799</v>
      </c>
      <c r="M1740" t="s">
        <v>1799</v>
      </c>
      <c r="N1740" t="s">
        <v>1799</v>
      </c>
      <c r="O1740" s="184" t="str">
        <f>"["&amp;$C1740&amp;"]["&amp;$D1740&amp;"]["&amp;$F1740&amp;"]"</f>
        <v>[S05_InherentCarbonTransferredDetail][80][InstallationIdTransferring]</v>
      </c>
    </row>
    <row r="1741" spans="1:15" x14ac:dyDescent="0.3">
      <c r="A1741" t="s">
        <v>1793</v>
      </c>
      <c r="B1741" t="s">
        <v>2167</v>
      </c>
      <c r="C1741" t="s">
        <v>2169</v>
      </c>
      <c r="D1741">
        <v>81</v>
      </c>
      <c r="E1741" t="s">
        <v>1447</v>
      </c>
      <c r="F1741" t="s">
        <v>2171</v>
      </c>
      <c r="G1741" t="s">
        <v>1797</v>
      </c>
      <c r="H1741" t="s">
        <v>2205</v>
      </c>
      <c r="I1741" t="s">
        <v>1799</v>
      </c>
      <c r="J1741" t="s">
        <v>1799</v>
      </c>
      <c r="K1741" t="s">
        <v>1799</v>
      </c>
      <c r="L1741" t="s">
        <v>1799</v>
      </c>
      <c r="M1741" t="s">
        <v>1799</v>
      </c>
      <c r="N1741" t="s">
        <v>1799</v>
      </c>
      <c r="O1741" s="184" t="str">
        <f>"["&amp;$C1741&amp;"]["&amp;$D1741&amp;"]["&amp;$F1741&amp;"]"</f>
        <v>[S05_InherentCarbonTransferredDetail][81][InstallationIdTransferring]</v>
      </c>
    </row>
    <row r="1742" spans="1:15" x14ac:dyDescent="0.3">
      <c r="A1742" t="s">
        <v>1793</v>
      </c>
      <c r="B1742" t="s">
        <v>2167</v>
      </c>
      <c r="C1742" t="s">
        <v>2169</v>
      </c>
      <c r="D1742">
        <v>82</v>
      </c>
      <c r="E1742" t="s">
        <v>1447</v>
      </c>
      <c r="F1742" t="s">
        <v>2171</v>
      </c>
      <c r="G1742" t="s">
        <v>1797</v>
      </c>
      <c r="H1742" t="s">
        <v>2206</v>
      </c>
      <c r="I1742" t="s">
        <v>1799</v>
      </c>
      <c r="J1742" t="s">
        <v>1799</v>
      </c>
      <c r="K1742" t="s">
        <v>1799</v>
      </c>
      <c r="L1742" t="s">
        <v>1799</v>
      </c>
      <c r="M1742" t="s">
        <v>1799</v>
      </c>
      <c r="N1742" t="s">
        <v>1799</v>
      </c>
      <c r="O1742" s="184" t="str">
        <f>"["&amp;$C1742&amp;"]["&amp;$D1742&amp;"]["&amp;$F1742&amp;"]"</f>
        <v>[S05_InherentCarbonTransferredDetail][82][InstallationIdTransferring]</v>
      </c>
    </row>
    <row r="1743" spans="1:15" x14ac:dyDescent="0.3">
      <c r="A1743" t="s">
        <v>1793</v>
      </c>
      <c r="B1743" t="s">
        <v>2167</v>
      </c>
      <c r="C1743" t="s">
        <v>2169</v>
      </c>
      <c r="D1743">
        <v>1</v>
      </c>
      <c r="E1743" t="s">
        <v>1447</v>
      </c>
      <c r="F1743" t="s">
        <v>2207</v>
      </c>
      <c r="G1743" t="s">
        <v>1797</v>
      </c>
      <c r="H1743" t="s">
        <v>1954</v>
      </c>
      <c r="I1743" t="s">
        <v>1799</v>
      </c>
      <c r="J1743" t="s">
        <v>1799</v>
      </c>
      <c r="K1743" t="s">
        <v>1799</v>
      </c>
      <c r="L1743" t="s">
        <v>1799</v>
      </c>
      <c r="M1743" t="s">
        <v>1799</v>
      </c>
      <c r="N1743" t="s">
        <v>1799</v>
      </c>
      <c r="O1743" s="184" t="str">
        <f>"["&amp;$C1743&amp;"]["&amp;$D1743&amp;"]["&amp;$F1743&amp;"]"</f>
        <v>[S05_InherentCarbonTransferredDetail][1][InstallationIdReceiving]</v>
      </c>
    </row>
    <row r="1744" spans="1:15" x14ac:dyDescent="0.3">
      <c r="A1744" t="s">
        <v>1793</v>
      </c>
      <c r="B1744" t="s">
        <v>2167</v>
      </c>
      <c r="C1744" t="s">
        <v>2169</v>
      </c>
      <c r="D1744">
        <v>2</v>
      </c>
      <c r="E1744" t="s">
        <v>1447</v>
      </c>
      <c r="F1744" t="s">
        <v>2207</v>
      </c>
      <c r="G1744" t="s">
        <v>1797</v>
      </c>
      <c r="H1744" t="s">
        <v>1954</v>
      </c>
      <c r="I1744" t="s">
        <v>1799</v>
      </c>
      <c r="J1744" t="s">
        <v>1799</v>
      </c>
      <c r="K1744" t="s">
        <v>1799</v>
      </c>
      <c r="L1744" t="s">
        <v>1799</v>
      </c>
      <c r="M1744" t="s">
        <v>1799</v>
      </c>
      <c r="N1744" t="s">
        <v>1799</v>
      </c>
      <c r="O1744" s="184" t="str">
        <f>"["&amp;$C1744&amp;"]["&amp;$D1744&amp;"]["&amp;$F1744&amp;"]"</f>
        <v>[S05_InherentCarbonTransferredDetail][2][InstallationIdReceiving]</v>
      </c>
    </row>
    <row r="1745" spans="1:15" x14ac:dyDescent="0.3">
      <c r="A1745" t="s">
        <v>1793</v>
      </c>
      <c r="B1745" t="s">
        <v>2167</v>
      </c>
      <c r="C1745" t="s">
        <v>2169</v>
      </c>
      <c r="D1745">
        <v>3</v>
      </c>
      <c r="E1745" t="s">
        <v>1447</v>
      </c>
      <c r="F1745" t="s">
        <v>2207</v>
      </c>
      <c r="G1745" t="s">
        <v>1797</v>
      </c>
      <c r="H1745" t="s">
        <v>1954</v>
      </c>
      <c r="I1745" t="s">
        <v>1799</v>
      </c>
      <c r="J1745" t="s">
        <v>1799</v>
      </c>
      <c r="K1745" t="s">
        <v>1799</v>
      </c>
      <c r="L1745" t="s">
        <v>1799</v>
      </c>
      <c r="M1745" t="s">
        <v>1799</v>
      </c>
      <c r="N1745" t="s">
        <v>1799</v>
      </c>
      <c r="O1745" s="184" t="str">
        <f>"["&amp;$C1745&amp;"]["&amp;$D1745&amp;"]["&amp;$F1745&amp;"]"</f>
        <v>[S05_InherentCarbonTransferredDetail][3][InstallationIdReceiving]</v>
      </c>
    </row>
    <row r="1746" spans="1:15" x14ac:dyDescent="0.3">
      <c r="A1746" t="s">
        <v>1793</v>
      </c>
      <c r="B1746" t="s">
        <v>2167</v>
      </c>
      <c r="C1746" t="s">
        <v>2169</v>
      </c>
      <c r="D1746">
        <v>4</v>
      </c>
      <c r="E1746" t="s">
        <v>1447</v>
      </c>
      <c r="F1746" t="s">
        <v>2207</v>
      </c>
      <c r="G1746" t="s">
        <v>1797</v>
      </c>
      <c r="H1746" t="s">
        <v>1954</v>
      </c>
      <c r="I1746" t="s">
        <v>1799</v>
      </c>
      <c r="J1746" t="s">
        <v>1799</v>
      </c>
      <c r="K1746" t="s">
        <v>1799</v>
      </c>
      <c r="L1746" t="s">
        <v>1799</v>
      </c>
      <c r="M1746" t="s">
        <v>1799</v>
      </c>
      <c r="N1746" t="s">
        <v>1799</v>
      </c>
      <c r="O1746" s="184" t="str">
        <f>"["&amp;$C1746&amp;"]["&amp;$D1746&amp;"]["&amp;$F1746&amp;"]"</f>
        <v>[S05_InherentCarbonTransferredDetail][4][InstallationIdReceiving]</v>
      </c>
    </row>
    <row r="1747" spans="1:15" x14ac:dyDescent="0.3">
      <c r="A1747" t="s">
        <v>1793</v>
      </c>
      <c r="B1747" t="s">
        <v>2167</v>
      </c>
      <c r="C1747" t="s">
        <v>2169</v>
      </c>
      <c r="D1747">
        <v>5</v>
      </c>
      <c r="E1747" t="s">
        <v>1447</v>
      </c>
      <c r="F1747" t="s">
        <v>2207</v>
      </c>
      <c r="G1747" t="s">
        <v>1797</v>
      </c>
      <c r="H1747" t="s">
        <v>2191</v>
      </c>
      <c r="I1747" t="s">
        <v>1799</v>
      </c>
      <c r="J1747" t="s">
        <v>1799</v>
      </c>
      <c r="K1747" t="s">
        <v>1799</v>
      </c>
      <c r="L1747" t="s">
        <v>1799</v>
      </c>
      <c r="M1747" t="s">
        <v>1799</v>
      </c>
      <c r="N1747" t="s">
        <v>1799</v>
      </c>
      <c r="O1747" s="184" t="str">
        <f>"["&amp;$C1747&amp;"]["&amp;$D1747&amp;"]["&amp;$F1747&amp;"]"</f>
        <v>[S05_InherentCarbonTransferredDetail][5][InstallationIdReceiving]</v>
      </c>
    </row>
    <row r="1748" spans="1:15" x14ac:dyDescent="0.3">
      <c r="A1748" t="s">
        <v>1793</v>
      </c>
      <c r="B1748" t="s">
        <v>2167</v>
      </c>
      <c r="C1748" t="s">
        <v>2169</v>
      </c>
      <c r="D1748">
        <v>6</v>
      </c>
      <c r="E1748" t="s">
        <v>1447</v>
      </c>
      <c r="F1748" t="s">
        <v>2207</v>
      </c>
      <c r="G1748" t="s">
        <v>1797</v>
      </c>
      <c r="H1748" t="s">
        <v>2191</v>
      </c>
      <c r="I1748" t="s">
        <v>1799</v>
      </c>
      <c r="J1748" t="s">
        <v>1799</v>
      </c>
      <c r="K1748" t="s">
        <v>1799</v>
      </c>
      <c r="L1748" t="s">
        <v>1799</v>
      </c>
      <c r="M1748" t="s">
        <v>1799</v>
      </c>
      <c r="N1748" t="s">
        <v>1799</v>
      </c>
      <c r="O1748" s="184" t="str">
        <f>"["&amp;$C1748&amp;"]["&amp;$D1748&amp;"]["&amp;$F1748&amp;"]"</f>
        <v>[S05_InherentCarbonTransferredDetail][6][InstallationIdReceiving]</v>
      </c>
    </row>
    <row r="1749" spans="1:15" x14ac:dyDescent="0.3">
      <c r="A1749" t="s">
        <v>1793</v>
      </c>
      <c r="B1749" t="s">
        <v>2167</v>
      </c>
      <c r="C1749" t="s">
        <v>2169</v>
      </c>
      <c r="D1749">
        <v>7</v>
      </c>
      <c r="E1749" t="s">
        <v>1447</v>
      </c>
      <c r="F1749" t="s">
        <v>2207</v>
      </c>
      <c r="G1749" t="s">
        <v>1797</v>
      </c>
      <c r="H1749" t="s">
        <v>2208</v>
      </c>
      <c r="I1749" t="s">
        <v>1799</v>
      </c>
      <c r="J1749" t="s">
        <v>1799</v>
      </c>
      <c r="K1749" t="s">
        <v>1799</v>
      </c>
      <c r="L1749" t="s">
        <v>1799</v>
      </c>
      <c r="M1749" t="s">
        <v>1799</v>
      </c>
      <c r="N1749" t="s">
        <v>1799</v>
      </c>
      <c r="O1749" s="184" t="str">
        <f>"["&amp;$C1749&amp;"]["&amp;$D1749&amp;"]["&amp;$F1749&amp;"]"</f>
        <v>[S05_InherentCarbonTransferredDetail][7][InstallationIdReceiving]</v>
      </c>
    </row>
    <row r="1750" spans="1:15" x14ac:dyDescent="0.3">
      <c r="A1750" t="s">
        <v>1793</v>
      </c>
      <c r="B1750" t="s">
        <v>2167</v>
      </c>
      <c r="C1750" t="s">
        <v>2169</v>
      </c>
      <c r="D1750">
        <v>8</v>
      </c>
      <c r="E1750" t="s">
        <v>1447</v>
      </c>
      <c r="F1750" t="s">
        <v>2207</v>
      </c>
      <c r="G1750" t="s">
        <v>1797</v>
      </c>
      <c r="H1750" t="s">
        <v>2209</v>
      </c>
      <c r="I1750" t="s">
        <v>1799</v>
      </c>
      <c r="J1750" t="s">
        <v>1799</v>
      </c>
      <c r="K1750" t="s">
        <v>1799</v>
      </c>
      <c r="L1750" t="s">
        <v>1799</v>
      </c>
      <c r="M1750" t="s">
        <v>1799</v>
      </c>
      <c r="N1750" t="s">
        <v>1799</v>
      </c>
      <c r="O1750" s="184" t="str">
        <f>"["&amp;$C1750&amp;"]["&amp;$D1750&amp;"]["&amp;$F1750&amp;"]"</f>
        <v>[S05_InherentCarbonTransferredDetail][8][InstallationIdReceiving]</v>
      </c>
    </row>
    <row r="1751" spans="1:15" x14ac:dyDescent="0.3">
      <c r="A1751" t="s">
        <v>1793</v>
      </c>
      <c r="B1751" t="s">
        <v>2167</v>
      </c>
      <c r="C1751" t="s">
        <v>2169</v>
      </c>
      <c r="D1751">
        <v>9</v>
      </c>
      <c r="E1751" t="s">
        <v>1447</v>
      </c>
      <c r="F1751" t="s">
        <v>2207</v>
      </c>
      <c r="G1751" t="s">
        <v>1797</v>
      </c>
      <c r="H1751" t="s">
        <v>2210</v>
      </c>
      <c r="I1751" t="s">
        <v>1799</v>
      </c>
      <c r="J1751" t="s">
        <v>1799</v>
      </c>
      <c r="K1751" t="s">
        <v>1799</v>
      </c>
      <c r="L1751" t="s">
        <v>1799</v>
      </c>
      <c r="M1751" t="s">
        <v>1799</v>
      </c>
      <c r="N1751" t="s">
        <v>1799</v>
      </c>
      <c r="O1751" s="184" t="str">
        <f>"["&amp;$C1751&amp;"]["&amp;$D1751&amp;"]["&amp;$F1751&amp;"]"</f>
        <v>[S05_InherentCarbonTransferredDetail][9][InstallationIdReceiving]</v>
      </c>
    </row>
    <row r="1752" spans="1:15" x14ac:dyDescent="0.3">
      <c r="A1752" t="s">
        <v>1793</v>
      </c>
      <c r="B1752" t="s">
        <v>2167</v>
      </c>
      <c r="C1752" t="s">
        <v>2169</v>
      </c>
      <c r="D1752">
        <v>10</v>
      </c>
      <c r="E1752" t="s">
        <v>1447</v>
      </c>
      <c r="F1752" t="s">
        <v>2207</v>
      </c>
      <c r="G1752" t="s">
        <v>1797</v>
      </c>
      <c r="H1752" t="s">
        <v>2188</v>
      </c>
      <c r="I1752" t="s">
        <v>1799</v>
      </c>
      <c r="J1752" t="s">
        <v>1799</v>
      </c>
      <c r="K1752" t="s">
        <v>1799</v>
      </c>
      <c r="L1752" t="s">
        <v>1799</v>
      </c>
      <c r="M1752" t="s">
        <v>1799</v>
      </c>
      <c r="N1752" t="s">
        <v>1799</v>
      </c>
      <c r="O1752" s="184" t="str">
        <f>"["&amp;$C1752&amp;"]["&amp;$D1752&amp;"]["&amp;$F1752&amp;"]"</f>
        <v>[S05_InherentCarbonTransferredDetail][10][InstallationIdReceiving]</v>
      </c>
    </row>
    <row r="1753" spans="1:15" x14ac:dyDescent="0.3">
      <c r="A1753" t="s">
        <v>1793</v>
      </c>
      <c r="B1753" t="s">
        <v>2167</v>
      </c>
      <c r="C1753" t="s">
        <v>2169</v>
      </c>
      <c r="D1753">
        <v>11</v>
      </c>
      <c r="E1753" t="s">
        <v>1447</v>
      </c>
      <c r="F1753" t="s">
        <v>2207</v>
      </c>
      <c r="G1753" t="s">
        <v>1797</v>
      </c>
      <c r="H1753" t="s">
        <v>2211</v>
      </c>
      <c r="I1753" t="s">
        <v>1799</v>
      </c>
      <c r="J1753" t="s">
        <v>1799</v>
      </c>
      <c r="K1753" t="s">
        <v>1799</v>
      </c>
      <c r="L1753" t="s">
        <v>1799</v>
      </c>
      <c r="M1753" t="s">
        <v>1799</v>
      </c>
      <c r="N1753" t="s">
        <v>1799</v>
      </c>
      <c r="O1753" s="184" t="str">
        <f>"["&amp;$C1753&amp;"]["&amp;$D1753&amp;"]["&amp;$F1753&amp;"]"</f>
        <v>[S05_InherentCarbonTransferredDetail][11][InstallationIdReceiving]</v>
      </c>
    </row>
    <row r="1754" spans="1:15" x14ac:dyDescent="0.3">
      <c r="A1754" t="s">
        <v>1793</v>
      </c>
      <c r="B1754" t="s">
        <v>2167</v>
      </c>
      <c r="C1754" t="s">
        <v>2169</v>
      </c>
      <c r="D1754">
        <v>12</v>
      </c>
      <c r="E1754" t="s">
        <v>1447</v>
      </c>
      <c r="F1754" t="s">
        <v>2207</v>
      </c>
      <c r="G1754" t="s">
        <v>1797</v>
      </c>
      <c r="H1754" t="s">
        <v>2212</v>
      </c>
      <c r="I1754" t="s">
        <v>1799</v>
      </c>
      <c r="J1754" t="s">
        <v>1799</v>
      </c>
      <c r="K1754" t="s">
        <v>1799</v>
      </c>
      <c r="L1754" t="s">
        <v>1799</v>
      </c>
      <c r="M1754" t="s">
        <v>1799</v>
      </c>
      <c r="N1754" t="s">
        <v>1799</v>
      </c>
      <c r="O1754" s="184" t="str">
        <f>"["&amp;$C1754&amp;"]["&amp;$D1754&amp;"]["&amp;$F1754&amp;"]"</f>
        <v>[S05_InherentCarbonTransferredDetail][12][InstallationIdReceiving]</v>
      </c>
    </row>
    <row r="1755" spans="1:15" x14ac:dyDescent="0.3">
      <c r="A1755" t="s">
        <v>1793</v>
      </c>
      <c r="B1755" t="s">
        <v>2167</v>
      </c>
      <c r="C1755" t="s">
        <v>2169</v>
      </c>
      <c r="D1755">
        <v>13</v>
      </c>
      <c r="E1755" t="s">
        <v>1447</v>
      </c>
      <c r="F1755" t="s">
        <v>2207</v>
      </c>
      <c r="G1755" t="s">
        <v>1797</v>
      </c>
      <c r="H1755" t="s">
        <v>2092</v>
      </c>
      <c r="I1755" t="s">
        <v>1799</v>
      </c>
      <c r="J1755" t="s">
        <v>1799</v>
      </c>
      <c r="K1755" t="s">
        <v>1799</v>
      </c>
      <c r="L1755" t="s">
        <v>1799</v>
      </c>
      <c r="M1755" t="s">
        <v>1799</v>
      </c>
      <c r="N1755" t="s">
        <v>1799</v>
      </c>
      <c r="O1755" s="184" t="str">
        <f>"["&amp;$C1755&amp;"]["&amp;$D1755&amp;"]["&amp;$F1755&amp;"]"</f>
        <v>[S05_InherentCarbonTransferredDetail][13][InstallationIdReceiving]</v>
      </c>
    </row>
    <row r="1756" spans="1:15" x14ac:dyDescent="0.3">
      <c r="A1756" t="s">
        <v>1793</v>
      </c>
      <c r="B1756" t="s">
        <v>2167</v>
      </c>
      <c r="C1756" t="s">
        <v>2169</v>
      </c>
      <c r="D1756">
        <v>14</v>
      </c>
      <c r="E1756" t="s">
        <v>1447</v>
      </c>
      <c r="F1756" t="s">
        <v>2207</v>
      </c>
      <c r="G1756" t="s">
        <v>1797</v>
      </c>
      <c r="H1756" t="s">
        <v>2093</v>
      </c>
      <c r="I1756" t="s">
        <v>1799</v>
      </c>
      <c r="J1756" t="s">
        <v>1799</v>
      </c>
      <c r="K1756" t="s">
        <v>1799</v>
      </c>
      <c r="L1756" t="s">
        <v>1799</v>
      </c>
      <c r="M1756" t="s">
        <v>1799</v>
      </c>
      <c r="N1756" t="s">
        <v>1799</v>
      </c>
      <c r="O1756" s="184" t="str">
        <f>"["&amp;$C1756&amp;"]["&amp;$D1756&amp;"]["&amp;$F1756&amp;"]"</f>
        <v>[S05_InherentCarbonTransferredDetail][14][InstallationIdReceiving]</v>
      </c>
    </row>
    <row r="1757" spans="1:15" x14ac:dyDescent="0.3">
      <c r="A1757" t="s">
        <v>1793</v>
      </c>
      <c r="B1757" t="s">
        <v>2167</v>
      </c>
      <c r="C1757" t="s">
        <v>2169</v>
      </c>
      <c r="D1757">
        <v>15</v>
      </c>
      <c r="E1757" t="s">
        <v>1447</v>
      </c>
      <c r="F1757" t="s">
        <v>2207</v>
      </c>
      <c r="G1757" t="s">
        <v>1797</v>
      </c>
      <c r="H1757" t="s">
        <v>2213</v>
      </c>
      <c r="I1757" t="s">
        <v>1799</v>
      </c>
      <c r="J1757" t="s">
        <v>1799</v>
      </c>
      <c r="K1757" t="s">
        <v>1799</v>
      </c>
      <c r="L1757" t="s">
        <v>1799</v>
      </c>
      <c r="M1757" t="s">
        <v>1799</v>
      </c>
      <c r="N1757" t="s">
        <v>1799</v>
      </c>
      <c r="O1757" s="184" t="str">
        <f>"["&amp;$C1757&amp;"]["&amp;$D1757&amp;"]["&amp;$F1757&amp;"]"</f>
        <v>[S05_InherentCarbonTransferredDetail][15][InstallationIdReceiving]</v>
      </c>
    </row>
    <row r="1758" spans="1:15" x14ac:dyDescent="0.3">
      <c r="A1758" t="s">
        <v>1793</v>
      </c>
      <c r="B1758" t="s">
        <v>2167</v>
      </c>
      <c r="C1758" t="s">
        <v>2169</v>
      </c>
      <c r="D1758">
        <v>16</v>
      </c>
      <c r="E1758" t="s">
        <v>1447</v>
      </c>
      <c r="F1758" t="s">
        <v>2207</v>
      </c>
      <c r="G1758" t="s">
        <v>1797</v>
      </c>
      <c r="H1758" t="s">
        <v>2214</v>
      </c>
      <c r="I1758" t="s">
        <v>1799</v>
      </c>
      <c r="J1758" t="s">
        <v>1799</v>
      </c>
      <c r="K1758" t="s">
        <v>1799</v>
      </c>
      <c r="L1758" t="s">
        <v>1799</v>
      </c>
      <c r="M1758" t="s">
        <v>1799</v>
      </c>
      <c r="N1758" t="s">
        <v>1799</v>
      </c>
      <c r="O1758" s="184" t="str">
        <f>"["&amp;$C1758&amp;"]["&amp;$D1758&amp;"]["&amp;$F1758&amp;"]"</f>
        <v>[S05_InherentCarbonTransferredDetail][16][InstallationIdReceiving]</v>
      </c>
    </row>
    <row r="1759" spans="1:15" x14ac:dyDescent="0.3">
      <c r="A1759" t="s">
        <v>1793</v>
      </c>
      <c r="B1759" t="s">
        <v>2167</v>
      </c>
      <c r="C1759" t="s">
        <v>2169</v>
      </c>
      <c r="D1759">
        <v>17</v>
      </c>
      <c r="E1759" t="s">
        <v>1447</v>
      </c>
      <c r="F1759" t="s">
        <v>2207</v>
      </c>
      <c r="G1759" t="s">
        <v>1797</v>
      </c>
      <c r="H1759" t="s">
        <v>2181</v>
      </c>
      <c r="I1759" t="s">
        <v>1799</v>
      </c>
      <c r="J1759" t="s">
        <v>1799</v>
      </c>
      <c r="K1759" t="s">
        <v>1799</v>
      </c>
      <c r="L1759" t="s">
        <v>1799</v>
      </c>
      <c r="M1759" t="s">
        <v>1799</v>
      </c>
      <c r="N1759" t="s">
        <v>1799</v>
      </c>
      <c r="O1759" s="184" t="str">
        <f>"["&amp;$C1759&amp;"]["&amp;$D1759&amp;"]["&amp;$F1759&amp;"]"</f>
        <v>[S05_InherentCarbonTransferredDetail][17][InstallationIdReceiving]</v>
      </c>
    </row>
    <row r="1760" spans="1:15" x14ac:dyDescent="0.3">
      <c r="A1760" t="s">
        <v>1793</v>
      </c>
      <c r="B1760" t="s">
        <v>2167</v>
      </c>
      <c r="C1760" t="s">
        <v>2169</v>
      </c>
      <c r="D1760">
        <v>18</v>
      </c>
      <c r="E1760" t="s">
        <v>1447</v>
      </c>
      <c r="F1760" t="s">
        <v>2207</v>
      </c>
      <c r="G1760" t="s">
        <v>1797</v>
      </c>
      <c r="H1760" t="s">
        <v>2215</v>
      </c>
      <c r="I1760" t="s">
        <v>1799</v>
      </c>
      <c r="J1760" t="s">
        <v>1799</v>
      </c>
      <c r="K1760" t="s">
        <v>1799</v>
      </c>
      <c r="L1760" t="s">
        <v>1799</v>
      </c>
      <c r="M1760" t="s">
        <v>1799</v>
      </c>
      <c r="N1760" t="s">
        <v>1799</v>
      </c>
      <c r="O1760" s="184" t="str">
        <f>"["&amp;$C1760&amp;"]["&amp;$D1760&amp;"]["&amp;$F1760&amp;"]"</f>
        <v>[S05_InherentCarbonTransferredDetail][18][InstallationIdReceiving]</v>
      </c>
    </row>
    <row r="1761" spans="1:15" x14ac:dyDescent="0.3">
      <c r="A1761" t="s">
        <v>1793</v>
      </c>
      <c r="B1761" t="s">
        <v>2167</v>
      </c>
      <c r="C1761" t="s">
        <v>2169</v>
      </c>
      <c r="D1761">
        <v>19</v>
      </c>
      <c r="E1761" t="s">
        <v>1447</v>
      </c>
      <c r="F1761" t="s">
        <v>2207</v>
      </c>
      <c r="G1761" t="s">
        <v>1797</v>
      </c>
      <c r="H1761" t="s">
        <v>2183</v>
      </c>
      <c r="I1761" t="s">
        <v>1799</v>
      </c>
      <c r="J1761" t="s">
        <v>1799</v>
      </c>
      <c r="K1761" t="s">
        <v>1799</v>
      </c>
      <c r="L1761" t="s">
        <v>1799</v>
      </c>
      <c r="M1761" t="s">
        <v>1799</v>
      </c>
      <c r="N1761" t="s">
        <v>1799</v>
      </c>
      <c r="O1761" s="184" t="str">
        <f>"["&amp;$C1761&amp;"]["&amp;$D1761&amp;"]["&amp;$F1761&amp;"]"</f>
        <v>[S05_InherentCarbonTransferredDetail][19][InstallationIdReceiving]</v>
      </c>
    </row>
    <row r="1762" spans="1:15" x14ac:dyDescent="0.3">
      <c r="A1762" t="s">
        <v>1793</v>
      </c>
      <c r="B1762" t="s">
        <v>2167</v>
      </c>
      <c r="C1762" t="s">
        <v>2169</v>
      </c>
      <c r="D1762">
        <v>20</v>
      </c>
      <c r="E1762" t="s">
        <v>1447</v>
      </c>
      <c r="F1762" t="s">
        <v>2207</v>
      </c>
      <c r="G1762" t="s">
        <v>1797</v>
      </c>
      <c r="H1762" t="s">
        <v>2216</v>
      </c>
      <c r="I1762" t="s">
        <v>1799</v>
      </c>
      <c r="J1762" t="s">
        <v>1799</v>
      </c>
      <c r="K1762" t="s">
        <v>1799</v>
      </c>
      <c r="L1762" t="s">
        <v>1799</v>
      </c>
      <c r="M1762" t="s">
        <v>1799</v>
      </c>
      <c r="N1762" t="s">
        <v>1799</v>
      </c>
      <c r="O1762" s="184" t="str">
        <f>"["&amp;$C1762&amp;"]["&amp;$D1762&amp;"]["&amp;$F1762&amp;"]"</f>
        <v>[S05_InherentCarbonTransferredDetail][20][InstallationIdReceiving]</v>
      </c>
    </row>
    <row r="1763" spans="1:15" x14ac:dyDescent="0.3">
      <c r="A1763" t="s">
        <v>1793</v>
      </c>
      <c r="B1763" t="s">
        <v>2167</v>
      </c>
      <c r="C1763" t="s">
        <v>2169</v>
      </c>
      <c r="D1763">
        <v>21</v>
      </c>
      <c r="E1763" t="s">
        <v>1447</v>
      </c>
      <c r="F1763" t="s">
        <v>2207</v>
      </c>
      <c r="G1763" t="s">
        <v>1797</v>
      </c>
      <c r="H1763" t="s">
        <v>2217</v>
      </c>
      <c r="I1763" t="s">
        <v>1799</v>
      </c>
      <c r="J1763" t="s">
        <v>1799</v>
      </c>
      <c r="K1763" t="s">
        <v>1799</v>
      </c>
      <c r="L1763" t="s">
        <v>1799</v>
      </c>
      <c r="M1763" t="s">
        <v>1799</v>
      </c>
      <c r="N1763" t="s">
        <v>1799</v>
      </c>
      <c r="O1763" s="184" t="str">
        <f>"["&amp;$C1763&amp;"]["&amp;$D1763&amp;"]["&amp;$F1763&amp;"]"</f>
        <v>[S05_InherentCarbonTransferredDetail][21][InstallationIdReceiving]</v>
      </c>
    </row>
    <row r="1764" spans="1:15" x14ac:dyDescent="0.3">
      <c r="A1764" t="s">
        <v>1793</v>
      </c>
      <c r="B1764" t="s">
        <v>2167</v>
      </c>
      <c r="C1764" t="s">
        <v>2169</v>
      </c>
      <c r="D1764">
        <v>22</v>
      </c>
      <c r="E1764" t="s">
        <v>1447</v>
      </c>
      <c r="F1764" t="s">
        <v>2207</v>
      </c>
      <c r="G1764" t="s">
        <v>1797</v>
      </c>
      <c r="H1764" t="s">
        <v>2218</v>
      </c>
      <c r="I1764" t="s">
        <v>1799</v>
      </c>
      <c r="J1764" t="s">
        <v>1799</v>
      </c>
      <c r="K1764" t="s">
        <v>1799</v>
      </c>
      <c r="L1764" t="s">
        <v>1799</v>
      </c>
      <c r="M1764" t="s">
        <v>1799</v>
      </c>
      <c r="N1764" t="s">
        <v>1799</v>
      </c>
      <c r="O1764" s="184" t="str">
        <f>"["&amp;$C1764&amp;"]["&amp;$D1764&amp;"]["&amp;$F1764&amp;"]"</f>
        <v>[S05_InherentCarbonTransferredDetail][22][InstallationIdReceiving]</v>
      </c>
    </row>
    <row r="1765" spans="1:15" x14ac:dyDescent="0.3">
      <c r="A1765" t="s">
        <v>1793</v>
      </c>
      <c r="B1765" t="s">
        <v>2167</v>
      </c>
      <c r="C1765" t="s">
        <v>2169</v>
      </c>
      <c r="D1765">
        <v>23</v>
      </c>
      <c r="E1765" t="s">
        <v>1447</v>
      </c>
      <c r="F1765" t="s">
        <v>2207</v>
      </c>
      <c r="G1765" t="s">
        <v>1797</v>
      </c>
      <c r="H1765" t="s">
        <v>2219</v>
      </c>
      <c r="I1765" t="s">
        <v>1799</v>
      </c>
      <c r="J1765" t="s">
        <v>1799</v>
      </c>
      <c r="K1765" t="s">
        <v>1799</v>
      </c>
      <c r="L1765" t="s">
        <v>1799</v>
      </c>
      <c r="M1765" t="s">
        <v>1799</v>
      </c>
      <c r="N1765" t="s">
        <v>1799</v>
      </c>
      <c r="O1765" s="184" t="str">
        <f>"["&amp;$C1765&amp;"]["&amp;$D1765&amp;"]["&amp;$F1765&amp;"]"</f>
        <v>[S05_InherentCarbonTransferredDetail][23][InstallationIdReceiving]</v>
      </c>
    </row>
    <row r="1766" spans="1:15" x14ac:dyDescent="0.3">
      <c r="A1766" t="s">
        <v>1793</v>
      </c>
      <c r="B1766" t="s">
        <v>2167</v>
      </c>
      <c r="C1766" t="s">
        <v>2169</v>
      </c>
      <c r="D1766">
        <v>24</v>
      </c>
      <c r="E1766" t="s">
        <v>1447</v>
      </c>
      <c r="F1766" t="s">
        <v>2207</v>
      </c>
      <c r="G1766" t="s">
        <v>1797</v>
      </c>
      <c r="H1766" t="s">
        <v>2220</v>
      </c>
      <c r="I1766" t="s">
        <v>1799</v>
      </c>
      <c r="J1766" t="s">
        <v>1799</v>
      </c>
      <c r="K1766" t="s">
        <v>1799</v>
      </c>
      <c r="L1766" t="s">
        <v>1799</v>
      </c>
      <c r="M1766" t="s">
        <v>1799</v>
      </c>
      <c r="N1766" t="s">
        <v>1799</v>
      </c>
      <c r="O1766" s="184" t="str">
        <f>"["&amp;$C1766&amp;"]["&amp;$D1766&amp;"]["&amp;$F1766&amp;"]"</f>
        <v>[S05_InherentCarbonTransferredDetail][24][InstallationIdReceiving]</v>
      </c>
    </row>
    <row r="1767" spans="1:15" x14ac:dyDescent="0.3">
      <c r="A1767" t="s">
        <v>1793</v>
      </c>
      <c r="B1767" t="s">
        <v>2167</v>
      </c>
      <c r="C1767" t="s">
        <v>2169</v>
      </c>
      <c r="D1767">
        <v>25</v>
      </c>
      <c r="E1767" t="s">
        <v>1447</v>
      </c>
      <c r="F1767" t="s">
        <v>2207</v>
      </c>
      <c r="G1767" t="s">
        <v>1797</v>
      </c>
      <c r="H1767" t="s">
        <v>2221</v>
      </c>
      <c r="I1767" t="s">
        <v>1799</v>
      </c>
      <c r="J1767" t="s">
        <v>1799</v>
      </c>
      <c r="K1767" t="s">
        <v>1799</v>
      </c>
      <c r="L1767" t="s">
        <v>1799</v>
      </c>
      <c r="M1767" t="s">
        <v>1799</v>
      </c>
      <c r="N1767" t="s">
        <v>1799</v>
      </c>
      <c r="O1767" s="184" t="str">
        <f>"["&amp;$C1767&amp;"]["&amp;$D1767&amp;"]["&amp;$F1767&amp;"]"</f>
        <v>[S05_InherentCarbonTransferredDetail][25][InstallationIdReceiving]</v>
      </c>
    </row>
    <row r="1768" spans="1:15" x14ac:dyDescent="0.3">
      <c r="A1768" t="s">
        <v>1793</v>
      </c>
      <c r="B1768" t="s">
        <v>2167</v>
      </c>
      <c r="C1768" t="s">
        <v>2169</v>
      </c>
      <c r="D1768">
        <v>26</v>
      </c>
      <c r="E1768" t="s">
        <v>1447</v>
      </c>
      <c r="F1768" t="s">
        <v>2207</v>
      </c>
      <c r="G1768" t="s">
        <v>1797</v>
      </c>
      <c r="H1768" t="s">
        <v>2222</v>
      </c>
      <c r="I1768" t="s">
        <v>1799</v>
      </c>
      <c r="J1768" t="s">
        <v>1799</v>
      </c>
      <c r="K1768" t="s">
        <v>1799</v>
      </c>
      <c r="L1768" t="s">
        <v>1799</v>
      </c>
      <c r="M1768" t="s">
        <v>1799</v>
      </c>
      <c r="N1768" t="s">
        <v>1799</v>
      </c>
      <c r="O1768" s="184" t="str">
        <f>"["&amp;$C1768&amp;"]["&amp;$D1768&amp;"]["&amp;$F1768&amp;"]"</f>
        <v>[S05_InherentCarbonTransferredDetail][26][InstallationIdReceiving]</v>
      </c>
    </row>
    <row r="1769" spans="1:15" x14ac:dyDescent="0.3">
      <c r="A1769" t="s">
        <v>1793</v>
      </c>
      <c r="B1769" t="s">
        <v>2167</v>
      </c>
      <c r="C1769" t="s">
        <v>2169</v>
      </c>
      <c r="D1769">
        <v>27</v>
      </c>
      <c r="E1769" t="s">
        <v>1447</v>
      </c>
      <c r="F1769" t="s">
        <v>2207</v>
      </c>
      <c r="G1769" t="s">
        <v>1797</v>
      </c>
      <c r="H1769" t="s">
        <v>2223</v>
      </c>
      <c r="I1769" t="s">
        <v>1799</v>
      </c>
      <c r="J1769" t="s">
        <v>1799</v>
      </c>
      <c r="K1769" t="s">
        <v>1799</v>
      </c>
      <c r="L1769" t="s">
        <v>1799</v>
      </c>
      <c r="M1769" t="s">
        <v>1799</v>
      </c>
      <c r="N1769" t="s">
        <v>1799</v>
      </c>
      <c r="O1769" s="184" t="str">
        <f>"["&amp;$C1769&amp;"]["&amp;$D1769&amp;"]["&amp;$F1769&amp;"]"</f>
        <v>[S05_InherentCarbonTransferredDetail][27][InstallationIdReceiving]</v>
      </c>
    </row>
    <row r="1770" spans="1:15" x14ac:dyDescent="0.3">
      <c r="A1770" t="s">
        <v>1793</v>
      </c>
      <c r="B1770" t="s">
        <v>2167</v>
      </c>
      <c r="C1770" t="s">
        <v>2169</v>
      </c>
      <c r="D1770">
        <v>28</v>
      </c>
      <c r="E1770" t="s">
        <v>1447</v>
      </c>
      <c r="F1770" t="s">
        <v>2207</v>
      </c>
      <c r="G1770" t="s">
        <v>1797</v>
      </c>
      <c r="H1770" t="s">
        <v>2224</v>
      </c>
      <c r="I1770" t="s">
        <v>1799</v>
      </c>
      <c r="J1770" t="s">
        <v>1799</v>
      </c>
      <c r="K1770" t="s">
        <v>1799</v>
      </c>
      <c r="L1770" t="s">
        <v>1799</v>
      </c>
      <c r="M1770" t="s">
        <v>1799</v>
      </c>
      <c r="N1770" t="s">
        <v>1799</v>
      </c>
      <c r="O1770" s="184" t="str">
        <f>"["&amp;$C1770&amp;"]["&amp;$D1770&amp;"]["&amp;$F1770&amp;"]"</f>
        <v>[S05_InherentCarbonTransferredDetail][28][InstallationIdReceiving]</v>
      </c>
    </row>
    <row r="1771" spans="1:15" x14ac:dyDescent="0.3">
      <c r="A1771" t="s">
        <v>1793</v>
      </c>
      <c r="B1771" t="s">
        <v>2167</v>
      </c>
      <c r="C1771" t="s">
        <v>2169</v>
      </c>
      <c r="D1771">
        <v>29</v>
      </c>
      <c r="E1771" t="s">
        <v>1447</v>
      </c>
      <c r="F1771" t="s">
        <v>2207</v>
      </c>
      <c r="G1771" t="s">
        <v>1797</v>
      </c>
      <c r="H1771" t="s">
        <v>2225</v>
      </c>
      <c r="I1771" t="s">
        <v>1799</v>
      </c>
      <c r="J1771" t="s">
        <v>1799</v>
      </c>
      <c r="K1771" t="s">
        <v>1799</v>
      </c>
      <c r="L1771" t="s">
        <v>1799</v>
      </c>
      <c r="M1771" t="s">
        <v>1799</v>
      </c>
      <c r="N1771" t="s">
        <v>1799</v>
      </c>
      <c r="O1771" s="184" t="str">
        <f>"["&amp;$C1771&amp;"]["&amp;$D1771&amp;"]["&amp;$F1771&amp;"]"</f>
        <v>[S05_InherentCarbonTransferredDetail][29][InstallationIdReceiving]</v>
      </c>
    </row>
    <row r="1772" spans="1:15" x14ac:dyDescent="0.3">
      <c r="A1772" t="s">
        <v>1793</v>
      </c>
      <c r="B1772" t="s">
        <v>2167</v>
      </c>
      <c r="C1772" t="s">
        <v>2169</v>
      </c>
      <c r="D1772">
        <v>30</v>
      </c>
      <c r="E1772" t="s">
        <v>1447</v>
      </c>
      <c r="F1772" t="s">
        <v>2207</v>
      </c>
      <c r="G1772" t="s">
        <v>1797</v>
      </c>
      <c r="H1772" t="s">
        <v>2226</v>
      </c>
      <c r="I1772" t="s">
        <v>1799</v>
      </c>
      <c r="J1772" t="s">
        <v>1799</v>
      </c>
      <c r="K1772" t="s">
        <v>1799</v>
      </c>
      <c r="L1772" t="s">
        <v>1799</v>
      </c>
      <c r="M1772" t="s">
        <v>1799</v>
      </c>
      <c r="N1772" t="s">
        <v>1799</v>
      </c>
      <c r="O1772" s="184" t="str">
        <f>"["&amp;$C1772&amp;"]["&amp;$D1772&amp;"]["&amp;$F1772&amp;"]"</f>
        <v>[S05_InherentCarbonTransferredDetail][30][InstallationIdReceiving]</v>
      </c>
    </row>
    <row r="1773" spans="1:15" x14ac:dyDescent="0.3">
      <c r="A1773" t="s">
        <v>1793</v>
      </c>
      <c r="B1773" t="s">
        <v>2167</v>
      </c>
      <c r="C1773" t="s">
        <v>2169</v>
      </c>
      <c r="D1773">
        <v>31</v>
      </c>
      <c r="E1773" t="s">
        <v>1447</v>
      </c>
      <c r="F1773" t="s">
        <v>2207</v>
      </c>
      <c r="G1773" t="s">
        <v>1797</v>
      </c>
      <c r="H1773" t="s">
        <v>2227</v>
      </c>
      <c r="I1773" t="s">
        <v>1799</v>
      </c>
      <c r="J1773" t="s">
        <v>1799</v>
      </c>
      <c r="K1773" t="s">
        <v>1799</v>
      </c>
      <c r="L1773" t="s">
        <v>1799</v>
      </c>
      <c r="M1773" t="s">
        <v>1799</v>
      </c>
      <c r="N1773" t="s">
        <v>1799</v>
      </c>
      <c r="O1773" s="184" t="str">
        <f>"["&amp;$C1773&amp;"]["&amp;$D1773&amp;"]["&amp;$F1773&amp;"]"</f>
        <v>[S05_InherentCarbonTransferredDetail][31][InstallationIdReceiving]</v>
      </c>
    </row>
    <row r="1774" spans="1:15" x14ac:dyDescent="0.3">
      <c r="A1774" t="s">
        <v>1793</v>
      </c>
      <c r="B1774" t="s">
        <v>2167</v>
      </c>
      <c r="C1774" t="s">
        <v>2169</v>
      </c>
      <c r="D1774">
        <v>32</v>
      </c>
      <c r="E1774" t="s">
        <v>1447</v>
      </c>
      <c r="F1774" t="s">
        <v>2207</v>
      </c>
      <c r="G1774" t="s">
        <v>1797</v>
      </c>
      <c r="H1774" t="s">
        <v>2228</v>
      </c>
      <c r="I1774" t="s">
        <v>1799</v>
      </c>
      <c r="J1774" t="s">
        <v>1799</v>
      </c>
      <c r="K1774" t="s">
        <v>1799</v>
      </c>
      <c r="L1774" t="s">
        <v>1799</v>
      </c>
      <c r="M1774" t="s">
        <v>1799</v>
      </c>
      <c r="N1774" t="s">
        <v>1799</v>
      </c>
      <c r="O1774" s="184" t="str">
        <f>"["&amp;$C1774&amp;"]["&amp;$D1774&amp;"]["&amp;$F1774&amp;"]"</f>
        <v>[S05_InherentCarbonTransferredDetail][32][InstallationIdReceiving]</v>
      </c>
    </row>
    <row r="1775" spans="1:15" x14ac:dyDescent="0.3">
      <c r="A1775" t="s">
        <v>1793</v>
      </c>
      <c r="B1775" t="s">
        <v>2167</v>
      </c>
      <c r="C1775" t="s">
        <v>2169</v>
      </c>
      <c r="D1775">
        <v>33</v>
      </c>
      <c r="E1775" t="s">
        <v>1447</v>
      </c>
      <c r="F1775" t="s">
        <v>2207</v>
      </c>
      <c r="G1775" t="s">
        <v>1797</v>
      </c>
      <c r="H1775" t="s">
        <v>2229</v>
      </c>
      <c r="I1775" t="s">
        <v>1799</v>
      </c>
      <c r="J1775" t="s">
        <v>1799</v>
      </c>
      <c r="K1775" t="s">
        <v>1799</v>
      </c>
      <c r="L1775" t="s">
        <v>1799</v>
      </c>
      <c r="M1775" t="s">
        <v>1799</v>
      </c>
      <c r="N1775" t="s">
        <v>1799</v>
      </c>
      <c r="O1775" s="184" t="str">
        <f>"["&amp;$C1775&amp;"]["&amp;$D1775&amp;"]["&amp;$F1775&amp;"]"</f>
        <v>[S05_InherentCarbonTransferredDetail][33][InstallationIdReceiving]</v>
      </c>
    </row>
    <row r="1776" spans="1:15" x14ac:dyDescent="0.3">
      <c r="A1776" t="s">
        <v>1793</v>
      </c>
      <c r="B1776" t="s">
        <v>2167</v>
      </c>
      <c r="C1776" t="s">
        <v>2169</v>
      </c>
      <c r="D1776">
        <v>34</v>
      </c>
      <c r="E1776" t="s">
        <v>1447</v>
      </c>
      <c r="F1776" t="s">
        <v>2207</v>
      </c>
      <c r="G1776" t="s">
        <v>1797</v>
      </c>
      <c r="H1776" t="s">
        <v>2180</v>
      </c>
      <c r="I1776" t="s">
        <v>1799</v>
      </c>
      <c r="J1776" t="s">
        <v>1799</v>
      </c>
      <c r="K1776" t="s">
        <v>1799</v>
      </c>
      <c r="L1776" t="s">
        <v>1799</v>
      </c>
      <c r="M1776" t="s">
        <v>1799</v>
      </c>
      <c r="N1776" t="s">
        <v>1799</v>
      </c>
      <c r="O1776" s="184" t="str">
        <f>"["&amp;$C1776&amp;"]["&amp;$D1776&amp;"]["&amp;$F1776&amp;"]"</f>
        <v>[S05_InherentCarbonTransferredDetail][34][InstallationIdReceiving]</v>
      </c>
    </row>
    <row r="1777" spans="1:15" x14ac:dyDescent="0.3">
      <c r="A1777" t="s">
        <v>1793</v>
      </c>
      <c r="B1777" t="s">
        <v>2167</v>
      </c>
      <c r="C1777" t="s">
        <v>2169</v>
      </c>
      <c r="D1777">
        <v>35</v>
      </c>
      <c r="E1777" t="s">
        <v>1447</v>
      </c>
      <c r="F1777" t="s">
        <v>2207</v>
      </c>
      <c r="G1777" t="s">
        <v>1797</v>
      </c>
      <c r="H1777" t="s">
        <v>2215</v>
      </c>
      <c r="I1777" t="s">
        <v>1799</v>
      </c>
      <c r="J1777" t="s">
        <v>1799</v>
      </c>
      <c r="K1777" t="s">
        <v>1799</v>
      </c>
      <c r="L1777" t="s">
        <v>1799</v>
      </c>
      <c r="M1777" t="s">
        <v>1799</v>
      </c>
      <c r="N1777" t="s">
        <v>1799</v>
      </c>
      <c r="O1777" s="184" t="str">
        <f>"["&amp;$C1777&amp;"]["&amp;$D1777&amp;"]["&amp;$F1777&amp;"]"</f>
        <v>[S05_InherentCarbonTransferredDetail][35][InstallationIdReceiving]</v>
      </c>
    </row>
    <row r="1778" spans="1:15" x14ac:dyDescent="0.3">
      <c r="A1778" t="s">
        <v>1793</v>
      </c>
      <c r="B1778" t="s">
        <v>2167</v>
      </c>
      <c r="C1778" t="s">
        <v>2169</v>
      </c>
      <c r="D1778">
        <v>36</v>
      </c>
      <c r="E1778" t="s">
        <v>1447</v>
      </c>
      <c r="F1778" t="s">
        <v>2207</v>
      </c>
      <c r="G1778" t="s">
        <v>1797</v>
      </c>
      <c r="H1778" t="s">
        <v>2217</v>
      </c>
      <c r="I1778" t="s">
        <v>1799</v>
      </c>
      <c r="J1778" t="s">
        <v>1799</v>
      </c>
      <c r="K1778" t="s">
        <v>1799</v>
      </c>
      <c r="L1778" t="s">
        <v>1799</v>
      </c>
      <c r="M1778" t="s">
        <v>1799</v>
      </c>
      <c r="N1778" t="s">
        <v>1799</v>
      </c>
      <c r="O1778" s="184" t="str">
        <f>"["&amp;$C1778&amp;"]["&amp;$D1778&amp;"]["&amp;$F1778&amp;"]"</f>
        <v>[S05_InherentCarbonTransferredDetail][36][InstallationIdReceiving]</v>
      </c>
    </row>
    <row r="1779" spans="1:15" x14ac:dyDescent="0.3">
      <c r="A1779" t="s">
        <v>1793</v>
      </c>
      <c r="B1779" t="s">
        <v>2167</v>
      </c>
      <c r="C1779" t="s">
        <v>2169</v>
      </c>
      <c r="D1779">
        <v>37</v>
      </c>
      <c r="E1779" t="s">
        <v>1447</v>
      </c>
      <c r="F1779" t="s">
        <v>2207</v>
      </c>
      <c r="G1779" t="s">
        <v>1797</v>
      </c>
      <c r="H1779" t="s">
        <v>2221</v>
      </c>
      <c r="I1779" t="s">
        <v>1799</v>
      </c>
      <c r="J1779" t="s">
        <v>1799</v>
      </c>
      <c r="K1779" t="s">
        <v>1799</v>
      </c>
      <c r="L1779" t="s">
        <v>1799</v>
      </c>
      <c r="M1779" t="s">
        <v>1799</v>
      </c>
      <c r="N1779" t="s">
        <v>1799</v>
      </c>
      <c r="O1779" s="184" t="str">
        <f>"["&amp;$C1779&amp;"]["&amp;$D1779&amp;"]["&amp;$F1779&amp;"]"</f>
        <v>[S05_InherentCarbonTransferredDetail][37][InstallationIdReceiving]</v>
      </c>
    </row>
    <row r="1780" spans="1:15" x14ac:dyDescent="0.3">
      <c r="A1780" t="s">
        <v>1793</v>
      </c>
      <c r="B1780" t="s">
        <v>2167</v>
      </c>
      <c r="C1780" t="s">
        <v>2169</v>
      </c>
      <c r="D1780">
        <v>38</v>
      </c>
      <c r="E1780" t="s">
        <v>1447</v>
      </c>
      <c r="F1780" t="s">
        <v>2207</v>
      </c>
      <c r="G1780" t="s">
        <v>1797</v>
      </c>
      <c r="H1780" t="s">
        <v>2222</v>
      </c>
      <c r="I1780" t="s">
        <v>1799</v>
      </c>
      <c r="J1780" t="s">
        <v>1799</v>
      </c>
      <c r="K1780" t="s">
        <v>1799</v>
      </c>
      <c r="L1780" t="s">
        <v>1799</v>
      </c>
      <c r="M1780" t="s">
        <v>1799</v>
      </c>
      <c r="N1780" t="s">
        <v>1799</v>
      </c>
      <c r="O1780" s="184" t="str">
        <f>"["&amp;$C1780&amp;"]["&amp;$D1780&amp;"]["&amp;$F1780&amp;"]"</f>
        <v>[S05_InherentCarbonTransferredDetail][38][InstallationIdReceiving]</v>
      </c>
    </row>
    <row r="1781" spans="1:15" x14ac:dyDescent="0.3">
      <c r="A1781" t="s">
        <v>1793</v>
      </c>
      <c r="B1781" t="s">
        <v>2167</v>
      </c>
      <c r="C1781" t="s">
        <v>2169</v>
      </c>
      <c r="D1781">
        <v>39</v>
      </c>
      <c r="E1781" t="s">
        <v>1447</v>
      </c>
      <c r="F1781" t="s">
        <v>2207</v>
      </c>
      <c r="G1781" t="s">
        <v>1797</v>
      </c>
      <c r="H1781" t="s">
        <v>2226</v>
      </c>
      <c r="I1781" t="s">
        <v>1799</v>
      </c>
      <c r="J1781" t="s">
        <v>1799</v>
      </c>
      <c r="K1781" t="s">
        <v>1799</v>
      </c>
      <c r="L1781" t="s">
        <v>1799</v>
      </c>
      <c r="M1781" t="s">
        <v>1799</v>
      </c>
      <c r="N1781" t="s">
        <v>1799</v>
      </c>
      <c r="O1781" s="184" t="str">
        <f>"["&amp;$C1781&amp;"]["&amp;$D1781&amp;"]["&amp;$F1781&amp;"]"</f>
        <v>[S05_InherentCarbonTransferredDetail][39][InstallationIdReceiving]</v>
      </c>
    </row>
    <row r="1782" spans="1:15" x14ac:dyDescent="0.3">
      <c r="A1782" t="s">
        <v>1793</v>
      </c>
      <c r="B1782" t="s">
        <v>2167</v>
      </c>
      <c r="C1782" t="s">
        <v>2169</v>
      </c>
      <c r="D1782">
        <v>40</v>
      </c>
      <c r="E1782" t="s">
        <v>1447</v>
      </c>
      <c r="F1782" t="s">
        <v>2207</v>
      </c>
      <c r="G1782" t="s">
        <v>1797</v>
      </c>
      <c r="H1782" t="s">
        <v>2227</v>
      </c>
      <c r="I1782" t="s">
        <v>1799</v>
      </c>
      <c r="J1782" t="s">
        <v>1799</v>
      </c>
      <c r="K1782" t="s">
        <v>1799</v>
      </c>
      <c r="L1782" t="s">
        <v>1799</v>
      </c>
      <c r="M1782" t="s">
        <v>1799</v>
      </c>
      <c r="N1782" t="s">
        <v>1799</v>
      </c>
      <c r="O1782" s="184" t="str">
        <f>"["&amp;$C1782&amp;"]["&amp;$D1782&amp;"]["&amp;$F1782&amp;"]"</f>
        <v>[S05_InherentCarbonTransferredDetail][40][InstallationIdReceiving]</v>
      </c>
    </row>
    <row r="1783" spans="1:15" x14ac:dyDescent="0.3">
      <c r="A1783" t="s">
        <v>1793</v>
      </c>
      <c r="B1783" t="s">
        <v>2167</v>
      </c>
      <c r="C1783" t="s">
        <v>2169</v>
      </c>
      <c r="D1783">
        <v>41</v>
      </c>
      <c r="E1783" t="s">
        <v>1447</v>
      </c>
      <c r="F1783" t="s">
        <v>2207</v>
      </c>
      <c r="G1783" t="s">
        <v>1797</v>
      </c>
      <c r="H1783" t="s">
        <v>2229</v>
      </c>
      <c r="I1783" t="s">
        <v>1799</v>
      </c>
      <c r="J1783" t="s">
        <v>1799</v>
      </c>
      <c r="K1783" t="s">
        <v>1799</v>
      </c>
      <c r="L1783" t="s">
        <v>1799</v>
      </c>
      <c r="M1783" t="s">
        <v>1799</v>
      </c>
      <c r="N1783" t="s">
        <v>1799</v>
      </c>
      <c r="O1783" s="184" t="str">
        <f>"["&amp;$C1783&amp;"]["&amp;$D1783&amp;"]["&amp;$F1783&amp;"]"</f>
        <v>[S05_InherentCarbonTransferredDetail][41][InstallationIdReceiving]</v>
      </c>
    </row>
    <row r="1784" spans="1:15" x14ac:dyDescent="0.3">
      <c r="A1784" t="s">
        <v>1793</v>
      </c>
      <c r="B1784" t="s">
        <v>2167</v>
      </c>
      <c r="C1784" t="s">
        <v>2169</v>
      </c>
      <c r="D1784">
        <v>42</v>
      </c>
      <c r="E1784" t="s">
        <v>1447</v>
      </c>
      <c r="F1784" t="s">
        <v>2207</v>
      </c>
      <c r="G1784" t="s">
        <v>1797</v>
      </c>
      <c r="H1784" t="s">
        <v>2230</v>
      </c>
      <c r="I1784" t="s">
        <v>1799</v>
      </c>
      <c r="J1784" t="s">
        <v>1799</v>
      </c>
      <c r="K1784" t="s">
        <v>1799</v>
      </c>
      <c r="L1784" t="s">
        <v>1799</v>
      </c>
      <c r="M1784" t="s">
        <v>1799</v>
      </c>
      <c r="N1784" t="s">
        <v>1799</v>
      </c>
      <c r="O1784" s="184" t="str">
        <f>"["&amp;$C1784&amp;"]["&amp;$D1784&amp;"]["&amp;$F1784&amp;"]"</f>
        <v>[S05_InherentCarbonTransferredDetail][42][InstallationIdReceiving]</v>
      </c>
    </row>
    <row r="1785" spans="1:15" x14ac:dyDescent="0.3">
      <c r="A1785" t="s">
        <v>1793</v>
      </c>
      <c r="B1785" t="s">
        <v>2167</v>
      </c>
      <c r="C1785" t="s">
        <v>2169</v>
      </c>
      <c r="D1785">
        <v>43</v>
      </c>
      <c r="E1785" t="s">
        <v>1447</v>
      </c>
      <c r="F1785" t="s">
        <v>2207</v>
      </c>
      <c r="G1785" t="s">
        <v>1797</v>
      </c>
      <c r="H1785" t="s">
        <v>2231</v>
      </c>
      <c r="I1785" t="s">
        <v>1799</v>
      </c>
      <c r="J1785" t="s">
        <v>1799</v>
      </c>
      <c r="K1785" t="s">
        <v>1799</v>
      </c>
      <c r="L1785" t="s">
        <v>1799</v>
      </c>
      <c r="M1785" t="s">
        <v>1799</v>
      </c>
      <c r="N1785" t="s">
        <v>1799</v>
      </c>
      <c r="O1785" s="184" t="str">
        <f>"["&amp;$C1785&amp;"]["&amp;$D1785&amp;"]["&amp;$F1785&amp;"]"</f>
        <v>[S05_InherentCarbonTransferredDetail][43][InstallationIdReceiving]</v>
      </c>
    </row>
    <row r="1786" spans="1:15" x14ac:dyDescent="0.3">
      <c r="A1786" t="s">
        <v>1793</v>
      </c>
      <c r="B1786" t="s">
        <v>2167</v>
      </c>
      <c r="C1786" t="s">
        <v>2169</v>
      </c>
      <c r="D1786">
        <v>44</v>
      </c>
      <c r="E1786" t="s">
        <v>1447</v>
      </c>
      <c r="F1786" t="s">
        <v>2207</v>
      </c>
      <c r="G1786" t="s">
        <v>1797</v>
      </c>
      <c r="H1786" t="s">
        <v>2216</v>
      </c>
      <c r="I1786" t="s">
        <v>1799</v>
      </c>
      <c r="J1786" t="s">
        <v>1799</v>
      </c>
      <c r="K1786" t="s">
        <v>1799</v>
      </c>
      <c r="L1786" t="s">
        <v>1799</v>
      </c>
      <c r="M1786" t="s">
        <v>1799</v>
      </c>
      <c r="N1786" t="s">
        <v>1799</v>
      </c>
      <c r="O1786" s="184" t="str">
        <f>"["&amp;$C1786&amp;"]["&amp;$D1786&amp;"]["&amp;$F1786&amp;"]"</f>
        <v>[S05_InherentCarbonTransferredDetail][44][InstallationIdReceiving]</v>
      </c>
    </row>
    <row r="1787" spans="1:15" x14ac:dyDescent="0.3">
      <c r="A1787" t="s">
        <v>1793</v>
      </c>
      <c r="B1787" t="s">
        <v>2167</v>
      </c>
      <c r="C1787" t="s">
        <v>2169</v>
      </c>
      <c r="D1787">
        <v>45</v>
      </c>
      <c r="E1787" t="s">
        <v>1447</v>
      </c>
      <c r="F1787" t="s">
        <v>2207</v>
      </c>
      <c r="G1787" t="s">
        <v>1797</v>
      </c>
      <c r="H1787" t="s">
        <v>2218</v>
      </c>
      <c r="I1787" t="s">
        <v>1799</v>
      </c>
      <c r="J1787" t="s">
        <v>1799</v>
      </c>
      <c r="K1787" t="s">
        <v>1799</v>
      </c>
      <c r="L1787" t="s">
        <v>1799</v>
      </c>
      <c r="M1787" t="s">
        <v>1799</v>
      </c>
      <c r="N1787" t="s">
        <v>1799</v>
      </c>
      <c r="O1787" s="184" t="str">
        <f>"["&amp;$C1787&amp;"]["&amp;$D1787&amp;"]["&amp;$F1787&amp;"]"</f>
        <v>[S05_InherentCarbonTransferredDetail][45][InstallationIdReceiving]</v>
      </c>
    </row>
    <row r="1788" spans="1:15" x14ac:dyDescent="0.3">
      <c r="A1788" t="s">
        <v>1793</v>
      </c>
      <c r="B1788" t="s">
        <v>2167</v>
      </c>
      <c r="C1788" t="s">
        <v>2169</v>
      </c>
      <c r="D1788">
        <v>46</v>
      </c>
      <c r="E1788" t="s">
        <v>1447</v>
      </c>
      <c r="F1788" t="s">
        <v>2207</v>
      </c>
      <c r="G1788" t="s">
        <v>1797</v>
      </c>
      <c r="H1788" t="s">
        <v>2219</v>
      </c>
      <c r="I1788" t="s">
        <v>1799</v>
      </c>
      <c r="J1788" t="s">
        <v>1799</v>
      </c>
      <c r="K1788" t="s">
        <v>1799</v>
      </c>
      <c r="L1788" t="s">
        <v>1799</v>
      </c>
      <c r="M1788" t="s">
        <v>1799</v>
      </c>
      <c r="N1788" t="s">
        <v>1799</v>
      </c>
      <c r="O1788" s="184" t="str">
        <f>"["&amp;$C1788&amp;"]["&amp;$D1788&amp;"]["&amp;$F1788&amp;"]"</f>
        <v>[S05_InherentCarbonTransferredDetail][46][InstallationIdReceiving]</v>
      </c>
    </row>
    <row r="1789" spans="1:15" x14ac:dyDescent="0.3">
      <c r="A1789" t="s">
        <v>1793</v>
      </c>
      <c r="B1789" t="s">
        <v>2167</v>
      </c>
      <c r="C1789" t="s">
        <v>2169</v>
      </c>
      <c r="D1789">
        <v>47</v>
      </c>
      <c r="E1789" t="s">
        <v>1447</v>
      </c>
      <c r="F1789" t="s">
        <v>2207</v>
      </c>
      <c r="G1789" t="s">
        <v>1797</v>
      </c>
      <c r="H1789" t="s">
        <v>2228</v>
      </c>
      <c r="I1789" t="s">
        <v>1799</v>
      </c>
      <c r="J1789" t="s">
        <v>1799</v>
      </c>
      <c r="K1789" t="s">
        <v>1799</v>
      </c>
      <c r="L1789" t="s">
        <v>1799</v>
      </c>
      <c r="M1789" t="s">
        <v>1799</v>
      </c>
      <c r="N1789" t="s">
        <v>1799</v>
      </c>
      <c r="O1789" s="184" t="str">
        <f>"["&amp;$C1789&amp;"]["&amp;$D1789&amp;"]["&amp;$F1789&amp;"]"</f>
        <v>[S05_InherentCarbonTransferredDetail][47][InstallationIdReceiving]</v>
      </c>
    </row>
    <row r="1790" spans="1:15" x14ac:dyDescent="0.3">
      <c r="A1790" t="s">
        <v>1793</v>
      </c>
      <c r="B1790" t="s">
        <v>2167</v>
      </c>
      <c r="C1790" t="s">
        <v>2169</v>
      </c>
      <c r="D1790">
        <v>48</v>
      </c>
      <c r="E1790" t="s">
        <v>1447</v>
      </c>
      <c r="F1790" t="s">
        <v>2207</v>
      </c>
      <c r="G1790" t="s">
        <v>1797</v>
      </c>
      <c r="H1790" t="s">
        <v>2232</v>
      </c>
      <c r="I1790" t="s">
        <v>1799</v>
      </c>
      <c r="J1790" t="s">
        <v>1799</v>
      </c>
      <c r="K1790" t="s">
        <v>1799</v>
      </c>
      <c r="L1790" t="s">
        <v>1799</v>
      </c>
      <c r="M1790" t="s">
        <v>1799</v>
      </c>
      <c r="N1790" t="s">
        <v>1799</v>
      </c>
      <c r="O1790" s="184" t="str">
        <f>"["&amp;$C1790&amp;"]["&amp;$D1790&amp;"]["&amp;$F1790&amp;"]"</f>
        <v>[S05_InherentCarbonTransferredDetail][48][InstallationIdReceiving]</v>
      </c>
    </row>
    <row r="1791" spans="1:15" x14ac:dyDescent="0.3">
      <c r="A1791" t="s">
        <v>1793</v>
      </c>
      <c r="B1791" t="s">
        <v>2167</v>
      </c>
      <c r="C1791" t="s">
        <v>2169</v>
      </c>
      <c r="D1791">
        <v>49</v>
      </c>
      <c r="E1791" t="s">
        <v>1447</v>
      </c>
      <c r="F1791" t="s">
        <v>2207</v>
      </c>
      <c r="G1791" t="s">
        <v>1797</v>
      </c>
      <c r="H1791" t="s">
        <v>2233</v>
      </c>
      <c r="I1791" t="s">
        <v>1799</v>
      </c>
      <c r="J1791" t="s">
        <v>1799</v>
      </c>
      <c r="K1791" t="s">
        <v>1799</v>
      </c>
      <c r="L1791" t="s">
        <v>1799</v>
      </c>
      <c r="M1791" t="s">
        <v>1799</v>
      </c>
      <c r="N1791" t="s">
        <v>1799</v>
      </c>
      <c r="O1791" s="184" t="str">
        <f>"["&amp;$C1791&amp;"]["&amp;$D1791&amp;"]["&amp;$F1791&amp;"]"</f>
        <v>[S05_InherentCarbonTransferredDetail][49][InstallationIdReceiving]</v>
      </c>
    </row>
    <row r="1792" spans="1:15" x14ac:dyDescent="0.3">
      <c r="A1792" t="s">
        <v>1793</v>
      </c>
      <c r="B1792" t="s">
        <v>2167</v>
      </c>
      <c r="C1792" t="s">
        <v>2169</v>
      </c>
      <c r="D1792">
        <v>50</v>
      </c>
      <c r="E1792" t="s">
        <v>1447</v>
      </c>
      <c r="F1792" t="s">
        <v>2207</v>
      </c>
      <c r="G1792" t="s">
        <v>1797</v>
      </c>
      <c r="H1792" t="s">
        <v>2234</v>
      </c>
      <c r="I1792" t="s">
        <v>1799</v>
      </c>
      <c r="J1792" t="s">
        <v>1799</v>
      </c>
      <c r="K1792" t="s">
        <v>1799</v>
      </c>
      <c r="L1792" t="s">
        <v>1799</v>
      </c>
      <c r="M1792" t="s">
        <v>1799</v>
      </c>
      <c r="N1792" t="s">
        <v>1799</v>
      </c>
      <c r="O1792" s="184" t="str">
        <f>"["&amp;$C1792&amp;"]["&amp;$D1792&amp;"]["&amp;$F1792&amp;"]"</f>
        <v>[S05_InherentCarbonTransferredDetail][50][InstallationIdReceiving]</v>
      </c>
    </row>
    <row r="1793" spans="1:15" x14ac:dyDescent="0.3">
      <c r="A1793" t="s">
        <v>1793</v>
      </c>
      <c r="B1793" t="s">
        <v>2167</v>
      </c>
      <c r="C1793" t="s">
        <v>2169</v>
      </c>
      <c r="D1793">
        <v>51</v>
      </c>
      <c r="E1793" t="s">
        <v>1447</v>
      </c>
      <c r="F1793" t="s">
        <v>2207</v>
      </c>
      <c r="G1793" t="s">
        <v>1797</v>
      </c>
      <c r="H1793" t="s">
        <v>2185</v>
      </c>
      <c r="I1793" t="s">
        <v>1799</v>
      </c>
      <c r="J1793" t="s">
        <v>1799</v>
      </c>
      <c r="K1793" t="s">
        <v>1799</v>
      </c>
      <c r="L1793" t="s">
        <v>1799</v>
      </c>
      <c r="M1793" t="s">
        <v>1799</v>
      </c>
      <c r="N1793" t="s">
        <v>1799</v>
      </c>
      <c r="O1793" s="184" t="str">
        <f>"["&amp;$C1793&amp;"]["&amp;$D1793&amp;"]["&amp;$F1793&amp;"]"</f>
        <v>[S05_InherentCarbonTransferredDetail][51][InstallationIdReceiving]</v>
      </c>
    </row>
    <row r="1794" spans="1:15" x14ac:dyDescent="0.3">
      <c r="A1794" t="s">
        <v>1793</v>
      </c>
      <c r="B1794" t="s">
        <v>2167</v>
      </c>
      <c r="C1794" t="s">
        <v>2169</v>
      </c>
      <c r="D1794">
        <v>52</v>
      </c>
      <c r="E1794" t="s">
        <v>1447</v>
      </c>
      <c r="F1794" t="s">
        <v>2207</v>
      </c>
      <c r="G1794" t="s">
        <v>1797</v>
      </c>
      <c r="H1794" t="s">
        <v>2100</v>
      </c>
      <c r="I1794" t="s">
        <v>1799</v>
      </c>
      <c r="J1794" t="s">
        <v>1799</v>
      </c>
      <c r="K1794" t="s">
        <v>1799</v>
      </c>
      <c r="L1794" t="s">
        <v>1799</v>
      </c>
      <c r="M1794" t="s">
        <v>1799</v>
      </c>
      <c r="N1794" t="s">
        <v>1799</v>
      </c>
      <c r="O1794" s="184" t="str">
        <f>"["&amp;$C1794&amp;"]["&amp;$D1794&amp;"]["&amp;$F1794&amp;"]"</f>
        <v>[S05_InherentCarbonTransferredDetail][52][InstallationIdReceiving]</v>
      </c>
    </row>
    <row r="1795" spans="1:15" x14ac:dyDescent="0.3">
      <c r="A1795" t="s">
        <v>1793</v>
      </c>
      <c r="B1795" t="s">
        <v>2167</v>
      </c>
      <c r="C1795" t="s">
        <v>2169</v>
      </c>
      <c r="D1795">
        <v>53</v>
      </c>
      <c r="E1795" t="s">
        <v>1447</v>
      </c>
      <c r="F1795" t="s">
        <v>2207</v>
      </c>
      <c r="G1795" t="s">
        <v>1797</v>
      </c>
      <c r="H1795" t="s">
        <v>2235</v>
      </c>
      <c r="I1795" t="s">
        <v>1799</v>
      </c>
      <c r="J1795" t="s">
        <v>1799</v>
      </c>
      <c r="K1795" t="s">
        <v>1799</v>
      </c>
      <c r="L1795" t="s">
        <v>1799</v>
      </c>
      <c r="M1795" t="s">
        <v>1799</v>
      </c>
      <c r="N1795" t="s">
        <v>1799</v>
      </c>
      <c r="O1795" s="184" t="str">
        <f>"["&amp;$C1795&amp;"]["&amp;$D1795&amp;"]["&amp;$F1795&amp;"]"</f>
        <v>[S05_InherentCarbonTransferredDetail][53][InstallationIdReceiving]</v>
      </c>
    </row>
    <row r="1796" spans="1:15" x14ac:dyDescent="0.3">
      <c r="A1796" t="s">
        <v>1793</v>
      </c>
      <c r="B1796" t="s">
        <v>2167</v>
      </c>
      <c r="C1796" t="s">
        <v>2169</v>
      </c>
      <c r="D1796">
        <v>54</v>
      </c>
      <c r="E1796" t="s">
        <v>1447</v>
      </c>
      <c r="F1796" t="s">
        <v>2207</v>
      </c>
      <c r="G1796" t="s">
        <v>1797</v>
      </c>
      <c r="H1796" t="s">
        <v>2105</v>
      </c>
      <c r="I1796" t="s">
        <v>1799</v>
      </c>
      <c r="J1796" t="s">
        <v>1799</v>
      </c>
      <c r="K1796" t="s">
        <v>1799</v>
      </c>
      <c r="L1796" t="s">
        <v>1799</v>
      </c>
      <c r="M1796" t="s">
        <v>1799</v>
      </c>
      <c r="N1796" t="s">
        <v>1799</v>
      </c>
      <c r="O1796" s="184" t="str">
        <f>"["&amp;$C1796&amp;"]["&amp;$D1796&amp;"]["&amp;$F1796&amp;"]"</f>
        <v>[S05_InherentCarbonTransferredDetail][54][InstallationIdReceiving]</v>
      </c>
    </row>
    <row r="1797" spans="1:15" x14ac:dyDescent="0.3">
      <c r="A1797" t="s">
        <v>1793</v>
      </c>
      <c r="B1797" t="s">
        <v>2167</v>
      </c>
      <c r="C1797" t="s">
        <v>2169</v>
      </c>
      <c r="D1797">
        <v>55</v>
      </c>
      <c r="E1797" t="s">
        <v>1447</v>
      </c>
      <c r="F1797" t="s">
        <v>2207</v>
      </c>
      <c r="G1797" t="s">
        <v>1797</v>
      </c>
      <c r="H1797" t="s">
        <v>2236</v>
      </c>
      <c r="I1797" t="s">
        <v>1799</v>
      </c>
      <c r="J1797" t="s">
        <v>1799</v>
      </c>
      <c r="K1797" t="s">
        <v>1799</v>
      </c>
      <c r="L1797" t="s">
        <v>1799</v>
      </c>
      <c r="M1797" t="s">
        <v>1799</v>
      </c>
      <c r="N1797" t="s">
        <v>1799</v>
      </c>
      <c r="O1797" s="184" t="str">
        <f>"["&amp;$C1797&amp;"]["&amp;$D1797&amp;"]["&amp;$F1797&amp;"]"</f>
        <v>[S05_InherentCarbonTransferredDetail][55][InstallationIdReceiving]</v>
      </c>
    </row>
    <row r="1798" spans="1:15" x14ac:dyDescent="0.3">
      <c r="A1798" t="s">
        <v>1793</v>
      </c>
      <c r="B1798" t="s">
        <v>2167</v>
      </c>
      <c r="C1798" t="s">
        <v>2169</v>
      </c>
      <c r="D1798">
        <v>56</v>
      </c>
      <c r="E1798" t="s">
        <v>1447</v>
      </c>
      <c r="F1798" t="s">
        <v>2207</v>
      </c>
      <c r="G1798" t="s">
        <v>1797</v>
      </c>
      <c r="H1798" t="s">
        <v>2237</v>
      </c>
      <c r="I1798" t="s">
        <v>1799</v>
      </c>
      <c r="J1798" t="s">
        <v>1799</v>
      </c>
      <c r="K1798" t="s">
        <v>1799</v>
      </c>
      <c r="L1798" t="s">
        <v>1799</v>
      </c>
      <c r="M1798" t="s">
        <v>1799</v>
      </c>
      <c r="N1798" t="s">
        <v>1799</v>
      </c>
      <c r="O1798" s="184" t="str">
        <f>"["&amp;$C1798&amp;"]["&amp;$D1798&amp;"]["&amp;$F1798&amp;"]"</f>
        <v>[S05_InherentCarbonTransferredDetail][56][InstallationIdReceiving]</v>
      </c>
    </row>
    <row r="1799" spans="1:15" x14ac:dyDescent="0.3">
      <c r="A1799" t="s">
        <v>1793</v>
      </c>
      <c r="B1799" t="s">
        <v>2167</v>
      </c>
      <c r="C1799" t="s">
        <v>2169</v>
      </c>
      <c r="D1799">
        <v>57</v>
      </c>
      <c r="E1799" t="s">
        <v>1447</v>
      </c>
      <c r="F1799" t="s">
        <v>2207</v>
      </c>
      <c r="G1799" t="s">
        <v>1797</v>
      </c>
      <c r="H1799" t="s">
        <v>2238</v>
      </c>
      <c r="I1799" t="s">
        <v>1799</v>
      </c>
      <c r="J1799" t="s">
        <v>1799</v>
      </c>
      <c r="K1799" t="s">
        <v>1799</v>
      </c>
      <c r="L1799" t="s">
        <v>1799</v>
      </c>
      <c r="M1799" t="s">
        <v>1799</v>
      </c>
      <c r="N1799" t="s">
        <v>1799</v>
      </c>
      <c r="O1799" s="184" t="str">
        <f>"["&amp;$C1799&amp;"]["&amp;$D1799&amp;"]["&amp;$F1799&amp;"]"</f>
        <v>[S05_InherentCarbonTransferredDetail][57][InstallationIdReceiving]</v>
      </c>
    </row>
    <row r="1800" spans="1:15" x14ac:dyDescent="0.3">
      <c r="A1800" t="s">
        <v>1793</v>
      </c>
      <c r="B1800" t="s">
        <v>2167</v>
      </c>
      <c r="C1800" t="s">
        <v>2169</v>
      </c>
      <c r="D1800">
        <v>58</v>
      </c>
      <c r="E1800" t="s">
        <v>1447</v>
      </c>
      <c r="F1800" t="s">
        <v>2207</v>
      </c>
      <c r="G1800" t="s">
        <v>1797</v>
      </c>
      <c r="H1800" t="s">
        <v>2239</v>
      </c>
      <c r="I1800" t="s">
        <v>1799</v>
      </c>
      <c r="J1800" t="s">
        <v>1799</v>
      </c>
      <c r="K1800" t="s">
        <v>1799</v>
      </c>
      <c r="L1800" t="s">
        <v>1799</v>
      </c>
      <c r="M1800" t="s">
        <v>1799</v>
      </c>
      <c r="N1800" t="s">
        <v>1799</v>
      </c>
      <c r="O1800" s="184" t="str">
        <f>"["&amp;$C1800&amp;"]["&amp;$D1800&amp;"]["&amp;$F1800&amp;"]"</f>
        <v>[S05_InherentCarbonTransferredDetail][58][InstallationIdReceiving]</v>
      </c>
    </row>
    <row r="1801" spans="1:15" x14ac:dyDescent="0.3">
      <c r="A1801" t="s">
        <v>1793</v>
      </c>
      <c r="B1801" t="s">
        <v>2167</v>
      </c>
      <c r="C1801" t="s">
        <v>2169</v>
      </c>
      <c r="D1801">
        <v>59</v>
      </c>
      <c r="E1801" t="s">
        <v>1447</v>
      </c>
      <c r="F1801" t="s">
        <v>2207</v>
      </c>
      <c r="G1801" t="s">
        <v>1797</v>
      </c>
      <c r="H1801" t="s">
        <v>2240</v>
      </c>
      <c r="I1801" t="s">
        <v>1799</v>
      </c>
      <c r="J1801" t="s">
        <v>1799</v>
      </c>
      <c r="K1801" t="s">
        <v>1799</v>
      </c>
      <c r="L1801" t="s">
        <v>1799</v>
      </c>
      <c r="M1801" t="s">
        <v>1799</v>
      </c>
      <c r="N1801" t="s">
        <v>1799</v>
      </c>
      <c r="O1801" s="184" t="str">
        <f>"["&amp;$C1801&amp;"]["&amp;$D1801&amp;"]["&amp;$F1801&amp;"]"</f>
        <v>[S05_InherentCarbonTransferredDetail][59][InstallationIdReceiving]</v>
      </c>
    </row>
    <row r="1802" spans="1:15" x14ac:dyDescent="0.3">
      <c r="A1802" t="s">
        <v>1793</v>
      </c>
      <c r="B1802" t="s">
        <v>2167</v>
      </c>
      <c r="C1802" t="s">
        <v>2169</v>
      </c>
      <c r="D1802">
        <v>60</v>
      </c>
      <c r="E1802" t="s">
        <v>1447</v>
      </c>
      <c r="F1802" t="s">
        <v>2207</v>
      </c>
      <c r="G1802" t="s">
        <v>1797</v>
      </c>
      <c r="H1802" t="s">
        <v>2241</v>
      </c>
      <c r="I1802" t="s">
        <v>1799</v>
      </c>
      <c r="J1802" t="s">
        <v>1799</v>
      </c>
      <c r="K1802" t="s">
        <v>1799</v>
      </c>
      <c r="L1802" t="s">
        <v>1799</v>
      </c>
      <c r="M1802" t="s">
        <v>1799</v>
      </c>
      <c r="N1802" t="s">
        <v>1799</v>
      </c>
      <c r="O1802" s="184" t="str">
        <f>"["&amp;$C1802&amp;"]["&amp;$D1802&amp;"]["&amp;$F1802&amp;"]"</f>
        <v>[S05_InherentCarbonTransferredDetail][60][InstallationIdReceiving]</v>
      </c>
    </row>
    <row r="1803" spans="1:15" x14ac:dyDescent="0.3">
      <c r="A1803" t="s">
        <v>1793</v>
      </c>
      <c r="B1803" t="s">
        <v>2167</v>
      </c>
      <c r="C1803" t="s">
        <v>2169</v>
      </c>
      <c r="D1803">
        <v>61</v>
      </c>
      <c r="E1803" t="s">
        <v>1447</v>
      </c>
      <c r="F1803" t="s">
        <v>2207</v>
      </c>
      <c r="G1803" t="s">
        <v>1797</v>
      </c>
      <c r="H1803" t="s">
        <v>2178</v>
      </c>
      <c r="I1803" t="s">
        <v>1799</v>
      </c>
      <c r="J1803" t="s">
        <v>1799</v>
      </c>
      <c r="K1803" t="s">
        <v>1799</v>
      </c>
      <c r="L1803" t="s">
        <v>1799</v>
      </c>
      <c r="M1803" t="s">
        <v>1799</v>
      </c>
      <c r="N1803" t="s">
        <v>1799</v>
      </c>
      <c r="O1803" s="184" t="str">
        <f>"["&amp;$C1803&amp;"]["&amp;$D1803&amp;"]["&amp;$F1803&amp;"]"</f>
        <v>[S05_InherentCarbonTransferredDetail][61][InstallationIdReceiving]</v>
      </c>
    </row>
    <row r="1804" spans="1:15" x14ac:dyDescent="0.3">
      <c r="A1804" t="s">
        <v>1793</v>
      </c>
      <c r="B1804" t="s">
        <v>2167</v>
      </c>
      <c r="C1804" t="s">
        <v>2169</v>
      </c>
      <c r="D1804">
        <v>62</v>
      </c>
      <c r="E1804" t="s">
        <v>1447</v>
      </c>
      <c r="F1804" t="s">
        <v>2207</v>
      </c>
      <c r="G1804" t="s">
        <v>1797</v>
      </c>
      <c r="H1804" t="s">
        <v>2242</v>
      </c>
      <c r="I1804" t="s">
        <v>1799</v>
      </c>
      <c r="J1804" t="s">
        <v>1799</v>
      </c>
      <c r="K1804" t="s">
        <v>1799</v>
      </c>
      <c r="L1804" t="s">
        <v>1799</v>
      </c>
      <c r="M1804" t="s">
        <v>1799</v>
      </c>
      <c r="N1804" t="s">
        <v>1799</v>
      </c>
      <c r="O1804" s="184" t="str">
        <f>"["&amp;$C1804&amp;"]["&amp;$D1804&amp;"]["&amp;$F1804&amp;"]"</f>
        <v>[S05_InherentCarbonTransferredDetail][62][InstallationIdReceiving]</v>
      </c>
    </row>
    <row r="1805" spans="1:15" x14ac:dyDescent="0.3">
      <c r="A1805" t="s">
        <v>1793</v>
      </c>
      <c r="B1805" t="s">
        <v>2167</v>
      </c>
      <c r="C1805" t="s">
        <v>2169</v>
      </c>
      <c r="D1805">
        <v>63</v>
      </c>
      <c r="E1805" t="s">
        <v>1447</v>
      </c>
      <c r="F1805" t="s">
        <v>2207</v>
      </c>
      <c r="G1805" t="s">
        <v>1797</v>
      </c>
      <c r="H1805" t="s">
        <v>2243</v>
      </c>
      <c r="I1805" t="s">
        <v>1799</v>
      </c>
      <c r="J1805" t="s">
        <v>1799</v>
      </c>
      <c r="K1805" t="s">
        <v>1799</v>
      </c>
      <c r="L1805" t="s">
        <v>1799</v>
      </c>
      <c r="M1805" t="s">
        <v>1799</v>
      </c>
      <c r="N1805" t="s">
        <v>1799</v>
      </c>
      <c r="O1805" s="184" t="str">
        <f>"["&amp;$C1805&amp;"]["&amp;$D1805&amp;"]["&amp;$F1805&amp;"]"</f>
        <v>[S05_InherentCarbonTransferredDetail][63][InstallationIdReceiving]</v>
      </c>
    </row>
    <row r="1806" spans="1:15" x14ac:dyDescent="0.3">
      <c r="A1806" t="s">
        <v>1793</v>
      </c>
      <c r="B1806" t="s">
        <v>2167</v>
      </c>
      <c r="C1806" t="s">
        <v>2169</v>
      </c>
      <c r="D1806">
        <v>64</v>
      </c>
      <c r="E1806" t="s">
        <v>1447</v>
      </c>
      <c r="F1806" t="s">
        <v>2207</v>
      </c>
      <c r="G1806" t="s">
        <v>1797</v>
      </c>
      <c r="H1806" t="s">
        <v>2244</v>
      </c>
      <c r="I1806" t="s">
        <v>1799</v>
      </c>
      <c r="J1806" t="s">
        <v>1799</v>
      </c>
      <c r="K1806" t="s">
        <v>1799</v>
      </c>
      <c r="L1806" t="s">
        <v>1799</v>
      </c>
      <c r="M1806" t="s">
        <v>1799</v>
      </c>
      <c r="N1806" t="s">
        <v>1799</v>
      </c>
      <c r="O1806" s="184" t="str">
        <f>"["&amp;$C1806&amp;"]["&amp;$D1806&amp;"]["&amp;$F1806&amp;"]"</f>
        <v>[S05_InherentCarbonTransferredDetail][64][InstallationIdReceiving]</v>
      </c>
    </row>
    <row r="1807" spans="1:15" x14ac:dyDescent="0.3">
      <c r="A1807" t="s">
        <v>1793</v>
      </c>
      <c r="B1807" t="s">
        <v>2167</v>
      </c>
      <c r="C1807" t="s">
        <v>2169</v>
      </c>
      <c r="D1807">
        <v>65</v>
      </c>
      <c r="E1807" t="s">
        <v>1447</v>
      </c>
      <c r="F1807" t="s">
        <v>2207</v>
      </c>
      <c r="G1807" t="s">
        <v>1797</v>
      </c>
      <c r="H1807" t="s">
        <v>2191</v>
      </c>
      <c r="I1807" t="s">
        <v>1799</v>
      </c>
      <c r="J1807" t="s">
        <v>1799</v>
      </c>
      <c r="K1807" t="s">
        <v>1799</v>
      </c>
      <c r="L1807" t="s">
        <v>1799</v>
      </c>
      <c r="M1807" t="s">
        <v>1799</v>
      </c>
      <c r="N1807" t="s">
        <v>1799</v>
      </c>
      <c r="O1807" s="184" t="str">
        <f>"["&amp;$C1807&amp;"]["&amp;$D1807&amp;"]["&amp;$F1807&amp;"]"</f>
        <v>[S05_InherentCarbonTransferredDetail][65][InstallationIdReceiving]</v>
      </c>
    </row>
    <row r="1808" spans="1:15" x14ac:dyDescent="0.3">
      <c r="A1808" t="s">
        <v>1793</v>
      </c>
      <c r="B1808" t="s">
        <v>2167</v>
      </c>
      <c r="C1808" t="s">
        <v>2169</v>
      </c>
      <c r="D1808">
        <v>66</v>
      </c>
      <c r="E1808" t="s">
        <v>1447</v>
      </c>
      <c r="F1808" t="s">
        <v>2207</v>
      </c>
      <c r="G1808" t="s">
        <v>1797</v>
      </c>
      <c r="H1808" t="s">
        <v>2204</v>
      </c>
      <c r="I1808" t="s">
        <v>1799</v>
      </c>
      <c r="J1808" t="s">
        <v>1799</v>
      </c>
      <c r="K1808" t="s">
        <v>1799</v>
      </c>
      <c r="L1808" t="s">
        <v>1799</v>
      </c>
      <c r="M1808" t="s">
        <v>1799</v>
      </c>
      <c r="N1808" t="s">
        <v>1799</v>
      </c>
      <c r="O1808" s="184" t="str">
        <f>"["&amp;$C1808&amp;"]["&amp;$D1808&amp;"]["&amp;$F1808&amp;"]"</f>
        <v>[S05_InherentCarbonTransferredDetail][66][InstallationIdReceiving]</v>
      </c>
    </row>
    <row r="1809" spans="1:15" x14ac:dyDescent="0.3">
      <c r="A1809" t="s">
        <v>1793</v>
      </c>
      <c r="B1809" t="s">
        <v>2167</v>
      </c>
      <c r="C1809" t="s">
        <v>2169</v>
      </c>
      <c r="D1809">
        <v>67</v>
      </c>
      <c r="E1809" t="s">
        <v>1447</v>
      </c>
      <c r="F1809" t="s">
        <v>2207</v>
      </c>
      <c r="G1809" t="s">
        <v>1797</v>
      </c>
      <c r="H1809" t="s">
        <v>2245</v>
      </c>
      <c r="I1809" t="s">
        <v>1799</v>
      </c>
      <c r="J1809" t="s">
        <v>1799</v>
      </c>
      <c r="K1809" t="s">
        <v>1799</v>
      </c>
      <c r="L1809" t="s">
        <v>1799</v>
      </c>
      <c r="M1809" t="s">
        <v>1799</v>
      </c>
      <c r="N1809" t="s">
        <v>1799</v>
      </c>
      <c r="O1809" s="184" t="str">
        <f>"["&amp;$C1809&amp;"]["&amp;$D1809&amp;"]["&amp;$F1809&amp;"]"</f>
        <v>[S05_InherentCarbonTransferredDetail][67][InstallationIdReceiving]</v>
      </c>
    </row>
    <row r="1810" spans="1:15" x14ac:dyDescent="0.3">
      <c r="A1810" t="s">
        <v>1793</v>
      </c>
      <c r="B1810" t="s">
        <v>2167</v>
      </c>
      <c r="C1810" t="s">
        <v>2169</v>
      </c>
      <c r="D1810">
        <v>68</v>
      </c>
      <c r="E1810" t="s">
        <v>1447</v>
      </c>
      <c r="F1810" t="s">
        <v>2207</v>
      </c>
      <c r="G1810" t="s">
        <v>1797</v>
      </c>
      <c r="H1810" t="s">
        <v>2103</v>
      </c>
      <c r="I1810" t="s">
        <v>1799</v>
      </c>
      <c r="J1810" t="s">
        <v>1799</v>
      </c>
      <c r="K1810" t="s">
        <v>1799</v>
      </c>
      <c r="L1810" t="s">
        <v>1799</v>
      </c>
      <c r="M1810" t="s">
        <v>1799</v>
      </c>
      <c r="N1810" t="s">
        <v>1799</v>
      </c>
      <c r="O1810" s="184" t="str">
        <f>"["&amp;$C1810&amp;"]["&amp;$D1810&amp;"]["&amp;$F1810&amp;"]"</f>
        <v>[S05_InherentCarbonTransferredDetail][68][InstallationIdReceiving]</v>
      </c>
    </row>
    <row r="1811" spans="1:15" x14ac:dyDescent="0.3">
      <c r="A1811" t="s">
        <v>1793</v>
      </c>
      <c r="B1811" t="s">
        <v>2167</v>
      </c>
      <c r="C1811" t="s">
        <v>2169</v>
      </c>
      <c r="D1811">
        <v>69</v>
      </c>
      <c r="E1811" t="s">
        <v>1447</v>
      </c>
      <c r="F1811" t="s">
        <v>2207</v>
      </c>
      <c r="G1811" t="s">
        <v>1797</v>
      </c>
      <c r="H1811" t="s">
        <v>2246</v>
      </c>
      <c r="I1811" t="s">
        <v>1799</v>
      </c>
      <c r="J1811" t="s">
        <v>1799</v>
      </c>
      <c r="K1811" t="s">
        <v>1799</v>
      </c>
      <c r="L1811" t="s">
        <v>1799</v>
      </c>
      <c r="M1811" t="s">
        <v>1799</v>
      </c>
      <c r="N1811" t="s">
        <v>1799</v>
      </c>
      <c r="O1811" s="184" t="str">
        <f>"["&amp;$C1811&amp;"]["&amp;$D1811&amp;"]["&amp;$F1811&amp;"]"</f>
        <v>[S05_InherentCarbonTransferredDetail][69][InstallationIdReceiving]</v>
      </c>
    </row>
    <row r="1812" spans="1:15" x14ac:dyDescent="0.3">
      <c r="A1812" t="s">
        <v>1793</v>
      </c>
      <c r="B1812" t="s">
        <v>2167</v>
      </c>
      <c r="C1812" t="s">
        <v>2169</v>
      </c>
      <c r="D1812">
        <v>70</v>
      </c>
      <c r="E1812" t="s">
        <v>1447</v>
      </c>
      <c r="F1812" t="s">
        <v>2207</v>
      </c>
      <c r="G1812" t="s">
        <v>1797</v>
      </c>
      <c r="H1812" t="s">
        <v>2247</v>
      </c>
      <c r="I1812" t="s">
        <v>1799</v>
      </c>
      <c r="J1812" t="s">
        <v>1799</v>
      </c>
      <c r="K1812" t="s">
        <v>1799</v>
      </c>
      <c r="L1812" t="s">
        <v>1799</v>
      </c>
      <c r="M1812" t="s">
        <v>1799</v>
      </c>
      <c r="N1812" t="s">
        <v>1799</v>
      </c>
      <c r="O1812" s="184" t="str">
        <f>"["&amp;$C1812&amp;"]["&amp;$D1812&amp;"]["&amp;$F1812&amp;"]"</f>
        <v>[S05_InherentCarbonTransferredDetail][70][InstallationIdReceiving]</v>
      </c>
    </row>
    <row r="1813" spans="1:15" x14ac:dyDescent="0.3">
      <c r="A1813" t="s">
        <v>1793</v>
      </c>
      <c r="B1813" t="s">
        <v>2167</v>
      </c>
      <c r="C1813" t="s">
        <v>2169</v>
      </c>
      <c r="D1813">
        <v>71</v>
      </c>
      <c r="E1813" t="s">
        <v>1447</v>
      </c>
      <c r="F1813" t="s">
        <v>2207</v>
      </c>
      <c r="G1813" t="s">
        <v>1797</v>
      </c>
      <c r="H1813" t="s">
        <v>2248</v>
      </c>
      <c r="I1813" t="s">
        <v>1799</v>
      </c>
      <c r="J1813" t="s">
        <v>1799</v>
      </c>
      <c r="K1813" t="s">
        <v>1799</v>
      </c>
      <c r="L1813" t="s">
        <v>1799</v>
      </c>
      <c r="M1813" t="s">
        <v>1799</v>
      </c>
      <c r="N1813" t="s">
        <v>1799</v>
      </c>
      <c r="O1813" s="184" t="str">
        <f>"["&amp;$C1813&amp;"]["&amp;$D1813&amp;"]["&amp;$F1813&amp;"]"</f>
        <v>[S05_InherentCarbonTransferredDetail][71][InstallationIdReceiving]</v>
      </c>
    </row>
    <row r="1814" spans="1:15" x14ac:dyDescent="0.3">
      <c r="A1814" t="s">
        <v>1793</v>
      </c>
      <c r="B1814" t="s">
        <v>2167</v>
      </c>
      <c r="C1814" t="s">
        <v>2169</v>
      </c>
      <c r="D1814">
        <v>72</v>
      </c>
      <c r="E1814" t="s">
        <v>1447</v>
      </c>
      <c r="F1814" t="s">
        <v>2207</v>
      </c>
      <c r="G1814" t="s">
        <v>1797</v>
      </c>
      <c r="H1814" t="s">
        <v>2248</v>
      </c>
      <c r="I1814" t="s">
        <v>1799</v>
      </c>
      <c r="J1814" t="s">
        <v>1799</v>
      </c>
      <c r="K1814" t="s">
        <v>1799</v>
      </c>
      <c r="L1814" t="s">
        <v>1799</v>
      </c>
      <c r="M1814" t="s">
        <v>1799</v>
      </c>
      <c r="N1814" t="s">
        <v>1799</v>
      </c>
      <c r="O1814" s="184" t="str">
        <f>"["&amp;$C1814&amp;"]["&amp;$D1814&amp;"]["&amp;$F1814&amp;"]"</f>
        <v>[S05_InherentCarbonTransferredDetail][72][InstallationIdReceiving]</v>
      </c>
    </row>
    <row r="1815" spans="1:15" x14ac:dyDescent="0.3">
      <c r="A1815" t="s">
        <v>1793</v>
      </c>
      <c r="B1815" t="s">
        <v>2167</v>
      </c>
      <c r="C1815" t="s">
        <v>2169</v>
      </c>
      <c r="D1815">
        <v>73</v>
      </c>
      <c r="E1815" t="s">
        <v>1447</v>
      </c>
      <c r="F1815" t="s">
        <v>2207</v>
      </c>
      <c r="G1815" t="s">
        <v>1797</v>
      </c>
      <c r="H1815" t="s">
        <v>2248</v>
      </c>
      <c r="I1815" t="s">
        <v>1799</v>
      </c>
      <c r="J1815" t="s">
        <v>1799</v>
      </c>
      <c r="K1815" t="s">
        <v>1799</v>
      </c>
      <c r="L1815" t="s">
        <v>1799</v>
      </c>
      <c r="M1815" t="s">
        <v>1799</v>
      </c>
      <c r="N1815" t="s">
        <v>1799</v>
      </c>
      <c r="O1815" s="184" t="str">
        <f>"["&amp;$C1815&amp;"]["&amp;$D1815&amp;"]["&amp;$F1815&amp;"]"</f>
        <v>[S05_InherentCarbonTransferredDetail][73][InstallationIdReceiving]</v>
      </c>
    </row>
    <row r="1816" spans="1:15" x14ac:dyDescent="0.3">
      <c r="A1816" t="s">
        <v>1793</v>
      </c>
      <c r="B1816" t="s">
        <v>2167</v>
      </c>
      <c r="C1816" t="s">
        <v>2169</v>
      </c>
      <c r="D1816">
        <v>74</v>
      </c>
      <c r="E1816" t="s">
        <v>1447</v>
      </c>
      <c r="F1816" t="s">
        <v>2207</v>
      </c>
      <c r="G1816" t="s">
        <v>1797</v>
      </c>
      <c r="H1816" t="s">
        <v>2249</v>
      </c>
      <c r="I1816" t="s">
        <v>1799</v>
      </c>
      <c r="J1816" t="s">
        <v>1799</v>
      </c>
      <c r="K1816" t="s">
        <v>1799</v>
      </c>
      <c r="L1816" t="s">
        <v>1799</v>
      </c>
      <c r="M1816" t="s">
        <v>1799</v>
      </c>
      <c r="N1816" t="s">
        <v>1799</v>
      </c>
      <c r="O1816" s="184" t="str">
        <f>"["&amp;$C1816&amp;"]["&amp;$D1816&amp;"]["&amp;$F1816&amp;"]"</f>
        <v>[S05_InherentCarbonTransferredDetail][74][InstallationIdReceiving]</v>
      </c>
    </row>
    <row r="1817" spans="1:15" x14ac:dyDescent="0.3">
      <c r="A1817" t="s">
        <v>1793</v>
      </c>
      <c r="B1817" t="s">
        <v>2167</v>
      </c>
      <c r="C1817" t="s">
        <v>2169</v>
      </c>
      <c r="D1817">
        <v>75</v>
      </c>
      <c r="E1817" t="s">
        <v>1447</v>
      </c>
      <c r="F1817" t="s">
        <v>2207</v>
      </c>
      <c r="G1817" t="s">
        <v>1797</v>
      </c>
      <c r="H1817" t="s">
        <v>2249</v>
      </c>
      <c r="I1817" t="s">
        <v>1799</v>
      </c>
      <c r="J1817" t="s">
        <v>1799</v>
      </c>
      <c r="K1817" t="s">
        <v>1799</v>
      </c>
      <c r="L1817" t="s">
        <v>1799</v>
      </c>
      <c r="M1817" t="s">
        <v>1799</v>
      </c>
      <c r="N1817" t="s">
        <v>1799</v>
      </c>
      <c r="O1817" s="184" t="str">
        <f>"["&amp;$C1817&amp;"]["&amp;$D1817&amp;"]["&amp;$F1817&amp;"]"</f>
        <v>[S05_InherentCarbonTransferredDetail][75][InstallationIdReceiving]</v>
      </c>
    </row>
    <row r="1818" spans="1:15" x14ac:dyDescent="0.3">
      <c r="A1818" t="s">
        <v>1793</v>
      </c>
      <c r="B1818" t="s">
        <v>2167</v>
      </c>
      <c r="C1818" t="s">
        <v>2169</v>
      </c>
      <c r="D1818">
        <v>76</v>
      </c>
      <c r="E1818" t="s">
        <v>1447</v>
      </c>
      <c r="F1818" t="s">
        <v>2207</v>
      </c>
      <c r="G1818" t="s">
        <v>1797</v>
      </c>
      <c r="H1818" t="s">
        <v>2250</v>
      </c>
      <c r="I1818" t="s">
        <v>1799</v>
      </c>
      <c r="J1818" t="s">
        <v>1799</v>
      </c>
      <c r="K1818" t="s">
        <v>1799</v>
      </c>
      <c r="L1818" t="s">
        <v>1799</v>
      </c>
      <c r="M1818" t="s">
        <v>1799</v>
      </c>
      <c r="N1818" t="s">
        <v>1799</v>
      </c>
      <c r="O1818" s="184" t="str">
        <f>"["&amp;$C1818&amp;"]["&amp;$D1818&amp;"]["&amp;$F1818&amp;"]"</f>
        <v>[S05_InherentCarbonTransferredDetail][76][InstallationIdReceiving]</v>
      </c>
    </row>
    <row r="1819" spans="1:15" x14ac:dyDescent="0.3">
      <c r="A1819" t="s">
        <v>1793</v>
      </c>
      <c r="B1819" t="s">
        <v>2167</v>
      </c>
      <c r="C1819" t="s">
        <v>2169</v>
      </c>
      <c r="D1819">
        <v>77</v>
      </c>
      <c r="E1819" t="s">
        <v>1447</v>
      </c>
      <c r="F1819" t="s">
        <v>2207</v>
      </c>
      <c r="G1819" t="s">
        <v>1797</v>
      </c>
      <c r="H1819" t="s">
        <v>2251</v>
      </c>
      <c r="I1819" t="s">
        <v>1799</v>
      </c>
      <c r="J1819" t="s">
        <v>1799</v>
      </c>
      <c r="K1819" t="s">
        <v>1799</v>
      </c>
      <c r="L1819" t="s">
        <v>1799</v>
      </c>
      <c r="M1819" t="s">
        <v>1799</v>
      </c>
      <c r="N1819" t="s">
        <v>1799</v>
      </c>
      <c r="O1819" s="184" t="str">
        <f>"["&amp;$C1819&amp;"]["&amp;$D1819&amp;"]["&amp;$F1819&amp;"]"</f>
        <v>[S05_InherentCarbonTransferredDetail][77][InstallationIdReceiving]</v>
      </c>
    </row>
    <row r="1820" spans="1:15" x14ac:dyDescent="0.3">
      <c r="A1820" t="s">
        <v>1793</v>
      </c>
      <c r="B1820" t="s">
        <v>2167</v>
      </c>
      <c r="C1820" t="s">
        <v>2169</v>
      </c>
      <c r="D1820">
        <v>78</v>
      </c>
      <c r="E1820" t="s">
        <v>1447</v>
      </c>
      <c r="F1820" t="s">
        <v>2207</v>
      </c>
      <c r="G1820" t="s">
        <v>1797</v>
      </c>
      <c r="H1820" t="s">
        <v>2252</v>
      </c>
      <c r="I1820" t="s">
        <v>1799</v>
      </c>
      <c r="J1820" t="s">
        <v>1799</v>
      </c>
      <c r="K1820" t="s">
        <v>1799</v>
      </c>
      <c r="L1820" t="s">
        <v>1799</v>
      </c>
      <c r="M1820" t="s">
        <v>1799</v>
      </c>
      <c r="N1820" t="s">
        <v>1799</v>
      </c>
      <c r="O1820" s="184" t="str">
        <f>"["&amp;$C1820&amp;"]["&amp;$D1820&amp;"]["&amp;$F1820&amp;"]"</f>
        <v>[S05_InherentCarbonTransferredDetail][78][InstallationIdReceiving]</v>
      </c>
    </row>
    <row r="1821" spans="1:15" x14ac:dyDescent="0.3">
      <c r="A1821" t="s">
        <v>1793</v>
      </c>
      <c r="B1821" t="s">
        <v>2167</v>
      </c>
      <c r="C1821" t="s">
        <v>2169</v>
      </c>
      <c r="D1821">
        <v>79</v>
      </c>
      <c r="E1821" t="s">
        <v>1447</v>
      </c>
      <c r="F1821" t="s">
        <v>2207</v>
      </c>
      <c r="G1821" t="s">
        <v>1797</v>
      </c>
      <c r="H1821" t="s">
        <v>2192</v>
      </c>
      <c r="I1821" t="s">
        <v>1799</v>
      </c>
      <c r="J1821" t="s">
        <v>1799</v>
      </c>
      <c r="K1821" t="s">
        <v>1799</v>
      </c>
      <c r="L1821" t="s">
        <v>1799</v>
      </c>
      <c r="M1821" t="s">
        <v>1799</v>
      </c>
      <c r="N1821" t="s">
        <v>1799</v>
      </c>
      <c r="O1821" s="184" t="str">
        <f>"["&amp;$C1821&amp;"]["&amp;$D1821&amp;"]["&amp;$F1821&amp;"]"</f>
        <v>[S05_InherentCarbonTransferredDetail][79][InstallationIdReceiving]</v>
      </c>
    </row>
    <row r="1822" spans="1:15" x14ac:dyDescent="0.3">
      <c r="A1822" t="s">
        <v>1793</v>
      </c>
      <c r="B1822" t="s">
        <v>2167</v>
      </c>
      <c r="C1822" t="s">
        <v>2169</v>
      </c>
      <c r="D1822">
        <v>80</v>
      </c>
      <c r="E1822" t="s">
        <v>1447</v>
      </c>
      <c r="F1822" t="s">
        <v>2207</v>
      </c>
      <c r="G1822" t="s">
        <v>1797</v>
      </c>
      <c r="H1822" t="s">
        <v>2253</v>
      </c>
      <c r="I1822" t="s">
        <v>1799</v>
      </c>
      <c r="J1822" t="s">
        <v>1799</v>
      </c>
      <c r="K1822" t="s">
        <v>1799</v>
      </c>
      <c r="L1822" t="s">
        <v>1799</v>
      </c>
      <c r="M1822" t="s">
        <v>1799</v>
      </c>
      <c r="N1822" t="s">
        <v>1799</v>
      </c>
      <c r="O1822" s="184" t="str">
        <f>"["&amp;$C1822&amp;"]["&amp;$D1822&amp;"]["&amp;$F1822&amp;"]"</f>
        <v>[S05_InherentCarbonTransferredDetail][80][InstallationIdReceiving]</v>
      </c>
    </row>
    <row r="1823" spans="1:15" x14ac:dyDescent="0.3">
      <c r="A1823" t="s">
        <v>1793</v>
      </c>
      <c r="B1823" t="s">
        <v>2167</v>
      </c>
      <c r="C1823" t="s">
        <v>2169</v>
      </c>
      <c r="D1823">
        <v>81</v>
      </c>
      <c r="E1823" t="s">
        <v>1447</v>
      </c>
      <c r="F1823" t="s">
        <v>2207</v>
      </c>
      <c r="G1823" t="s">
        <v>1797</v>
      </c>
      <c r="H1823" t="s">
        <v>2254</v>
      </c>
      <c r="I1823" t="s">
        <v>1799</v>
      </c>
      <c r="J1823" t="s">
        <v>1799</v>
      </c>
      <c r="K1823" t="s">
        <v>1799</v>
      </c>
      <c r="L1823" t="s">
        <v>1799</v>
      </c>
      <c r="M1823" t="s">
        <v>1799</v>
      </c>
      <c r="N1823" t="s">
        <v>1799</v>
      </c>
      <c r="O1823" s="184" t="str">
        <f>"["&amp;$C1823&amp;"]["&amp;$D1823&amp;"]["&amp;$F1823&amp;"]"</f>
        <v>[S05_InherentCarbonTransferredDetail][81][InstallationIdReceiving]</v>
      </c>
    </row>
    <row r="1824" spans="1:15" x14ac:dyDescent="0.3">
      <c r="A1824" t="s">
        <v>1793</v>
      </c>
      <c r="B1824" t="s">
        <v>2167</v>
      </c>
      <c r="C1824" t="s">
        <v>2169</v>
      </c>
      <c r="D1824">
        <v>82</v>
      </c>
      <c r="E1824" t="s">
        <v>1447</v>
      </c>
      <c r="F1824" t="s">
        <v>2207</v>
      </c>
      <c r="G1824" t="s">
        <v>1797</v>
      </c>
      <c r="H1824" t="s">
        <v>2255</v>
      </c>
      <c r="I1824" t="s">
        <v>1799</v>
      </c>
      <c r="J1824" t="s">
        <v>1799</v>
      </c>
      <c r="K1824" t="s">
        <v>1799</v>
      </c>
      <c r="L1824" t="s">
        <v>1799</v>
      </c>
      <c r="M1824" t="s">
        <v>1799</v>
      </c>
      <c r="N1824" t="s">
        <v>1799</v>
      </c>
      <c r="O1824" s="184" t="str">
        <f>"["&amp;$C1824&amp;"]["&amp;$D1824&amp;"]["&amp;$F1824&amp;"]"</f>
        <v>[S05_InherentCarbonTransferredDetail][82][InstallationIdReceiving]</v>
      </c>
    </row>
    <row r="1825" spans="1:15" x14ac:dyDescent="0.3">
      <c r="A1825" t="s">
        <v>1793</v>
      </c>
      <c r="B1825" t="s">
        <v>2167</v>
      </c>
      <c r="C1825" t="s">
        <v>2169</v>
      </c>
      <c r="D1825">
        <v>1</v>
      </c>
      <c r="E1825" t="s">
        <v>1447</v>
      </c>
      <c r="F1825" t="s">
        <v>2256</v>
      </c>
      <c r="G1825" t="s">
        <v>1892</v>
      </c>
      <c r="H1825" t="s">
        <v>1799</v>
      </c>
      <c r="I1825" t="s">
        <v>1799</v>
      </c>
      <c r="J1825">
        <v>7752.4</v>
      </c>
      <c r="K1825" t="s">
        <v>1799</v>
      </c>
      <c r="L1825" t="s">
        <v>1799</v>
      </c>
      <c r="M1825" t="s">
        <v>1799</v>
      </c>
      <c r="N1825" t="s">
        <v>1799</v>
      </c>
      <c r="O1825" s="184" t="str">
        <f>"["&amp;$C1825&amp;"]["&amp;$D1825&amp;"]["&amp;$F1825&amp;"]"</f>
        <v>[S05_InherentCarbonTransferredDetail][1][AmountCO2Transferred]</v>
      </c>
    </row>
    <row r="1826" spans="1:15" x14ac:dyDescent="0.3">
      <c r="A1826" t="s">
        <v>1793</v>
      </c>
      <c r="B1826" t="s">
        <v>2167</v>
      </c>
      <c r="C1826" t="s">
        <v>2169</v>
      </c>
      <c r="D1826">
        <v>2</v>
      </c>
      <c r="E1826" t="s">
        <v>1447</v>
      </c>
      <c r="F1826" t="s">
        <v>2256</v>
      </c>
      <c r="G1826" t="s">
        <v>1892</v>
      </c>
      <c r="H1826" t="s">
        <v>1799</v>
      </c>
      <c r="I1826" t="s">
        <v>1799</v>
      </c>
      <c r="J1826">
        <v>20559.973000000002</v>
      </c>
      <c r="K1826" t="s">
        <v>1799</v>
      </c>
      <c r="L1826" t="s">
        <v>1799</v>
      </c>
      <c r="M1826" t="s">
        <v>1799</v>
      </c>
      <c r="N1826" t="s">
        <v>1799</v>
      </c>
      <c r="O1826" s="184" t="str">
        <f>"["&amp;$C1826&amp;"]["&amp;$D1826&amp;"]["&amp;$F1826&amp;"]"</f>
        <v>[S05_InherentCarbonTransferredDetail][2][AmountCO2Transferred]</v>
      </c>
    </row>
    <row r="1827" spans="1:15" x14ac:dyDescent="0.3">
      <c r="A1827" t="s">
        <v>1793</v>
      </c>
      <c r="B1827" t="s">
        <v>2167</v>
      </c>
      <c r="C1827" t="s">
        <v>2169</v>
      </c>
      <c r="D1827">
        <v>3</v>
      </c>
      <c r="E1827" t="s">
        <v>1447</v>
      </c>
      <c r="F1827" t="s">
        <v>2256</v>
      </c>
      <c r="G1827" t="s">
        <v>1892</v>
      </c>
      <c r="H1827" t="s">
        <v>1799</v>
      </c>
      <c r="I1827" t="s">
        <v>1799</v>
      </c>
      <c r="J1827">
        <v>3058.3</v>
      </c>
      <c r="K1827" t="s">
        <v>1799</v>
      </c>
      <c r="L1827" t="s">
        <v>1799</v>
      </c>
      <c r="M1827" t="s">
        <v>1799</v>
      </c>
      <c r="N1827" t="s">
        <v>1799</v>
      </c>
      <c r="O1827" s="184" t="str">
        <f>"["&amp;$C1827&amp;"]["&amp;$D1827&amp;"]["&amp;$F1827&amp;"]"</f>
        <v>[S05_InherentCarbonTransferredDetail][3][AmountCO2Transferred]</v>
      </c>
    </row>
    <row r="1828" spans="1:15" x14ac:dyDescent="0.3">
      <c r="A1828" t="s">
        <v>1793</v>
      </c>
      <c r="B1828" t="s">
        <v>2167</v>
      </c>
      <c r="C1828" t="s">
        <v>2169</v>
      </c>
      <c r="D1828">
        <v>4</v>
      </c>
      <c r="E1828" t="s">
        <v>1447</v>
      </c>
      <c r="F1828" t="s">
        <v>2256</v>
      </c>
      <c r="G1828" t="s">
        <v>1892</v>
      </c>
      <c r="H1828" t="s">
        <v>1799</v>
      </c>
      <c r="I1828" t="s">
        <v>1799</v>
      </c>
      <c r="J1828">
        <v>15159.507</v>
      </c>
      <c r="K1828" t="s">
        <v>1799</v>
      </c>
      <c r="L1828" t="s">
        <v>1799</v>
      </c>
      <c r="M1828" t="s">
        <v>1799</v>
      </c>
      <c r="N1828" t="s">
        <v>1799</v>
      </c>
      <c r="O1828" s="184" t="str">
        <f>"["&amp;$C1828&amp;"]["&amp;$D1828&amp;"]["&amp;$F1828&amp;"]"</f>
        <v>[S05_InherentCarbonTransferredDetail][4][AmountCO2Transferred]</v>
      </c>
    </row>
    <row r="1829" spans="1:15" x14ac:dyDescent="0.3">
      <c r="A1829" t="s">
        <v>1793</v>
      </c>
      <c r="B1829" t="s">
        <v>2167</v>
      </c>
      <c r="C1829" t="s">
        <v>2169</v>
      </c>
      <c r="D1829">
        <v>5</v>
      </c>
      <c r="E1829" t="s">
        <v>1447</v>
      </c>
      <c r="F1829" t="s">
        <v>2256</v>
      </c>
      <c r="G1829" t="s">
        <v>1892</v>
      </c>
      <c r="H1829" t="s">
        <v>1799</v>
      </c>
      <c r="I1829" t="s">
        <v>1799</v>
      </c>
      <c r="J1829">
        <v>9617.1569999999992</v>
      </c>
      <c r="K1829" t="s">
        <v>1799</v>
      </c>
      <c r="L1829" t="s">
        <v>1799</v>
      </c>
      <c r="M1829" t="s">
        <v>1799</v>
      </c>
      <c r="N1829" t="s">
        <v>1799</v>
      </c>
      <c r="O1829" s="184" t="str">
        <f>"["&amp;$C1829&amp;"]["&amp;$D1829&amp;"]["&amp;$F1829&amp;"]"</f>
        <v>[S05_InherentCarbonTransferredDetail][5][AmountCO2Transferred]</v>
      </c>
    </row>
    <row r="1830" spans="1:15" x14ac:dyDescent="0.3">
      <c r="A1830" t="s">
        <v>1793</v>
      </c>
      <c r="B1830" t="s">
        <v>2167</v>
      </c>
      <c r="C1830" t="s">
        <v>2169</v>
      </c>
      <c r="D1830">
        <v>6</v>
      </c>
      <c r="E1830" t="s">
        <v>1447</v>
      </c>
      <c r="F1830" t="s">
        <v>2256</v>
      </c>
      <c r="G1830" t="s">
        <v>1892</v>
      </c>
      <c r="H1830" t="s">
        <v>1799</v>
      </c>
      <c r="I1830" t="s">
        <v>1799</v>
      </c>
      <c r="J1830">
        <v>12905063.492000001</v>
      </c>
      <c r="K1830" t="s">
        <v>1799</v>
      </c>
      <c r="L1830" t="s">
        <v>1799</v>
      </c>
      <c r="M1830" t="s">
        <v>1799</v>
      </c>
      <c r="N1830" t="s">
        <v>1799</v>
      </c>
      <c r="O1830" s="184" t="str">
        <f>"["&amp;$C1830&amp;"]["&amp;$D1830&amp;"]["&amp;$F1830&amp;"]"</f>
        <v>[S05_InherentCarbonTransferredDetail][6][AmountCO2Transferred]</v>
      </c>
    </row>
    <row r="1831" spans="1:15" x14ac:dyDescent="0.3">
      <c r="A1831" t="s">
        <v>1793</v>
      </c>
      <c r="B1831" t="s">
        <v>2167</v>
      </c>
      <c r="C1831" t="s">
        <v>2169</v>
      </c>
      <c r="D1831">
        <v>7</v>
      </c>
      <c r="E1831" t="s">
        <v>1447</v>
      </c>
      <c r="F1831" t="s">
        <v>2256</v>
      </c>
      <c r="G1831" t="s">
        <v>1892</v>
      </c>
      <c r="H1831" t="s">
        <v>1799</v>
      </c>
      <c r="I1831" t="s">
        <v>1799</v>
      </c>
      <c r="J1831">
        <v>150.22</v>
      </c>
      <c r="K1831" t="s">
        <v>1799</v>
      </c>
      <c r="L1831" t="s">
        <v>1799</v>
      </c>
      <c r="M1831" t="s">
        <v>1799</v>
      </c>
      <c r="N1831" t="s">
        <v>1799</v>
      </c>
      <c r="O1831" s="184" t="str">
        <f>"["&amp;$C1831&amp;"]["&amp;$D1831&amp;"]["&amp;$F1831&amp;"]"</f>
        <v>[S05_InherentCarbonTransferredDetail][7][AmountCO2Transferred]</v>
      </c>
    </row>
    <row r="1832" spans="1:15" x14ac:dyDescent="0.3">
      <c r="A1832" t="s">
        <v>1793</v>
      </c>
      <c r="B1832" t="s">
        <v>2167</v>
      </c>
      <c r="C1832" t="s">
        <v>2169</v>
      </c>
      <c r="D1832">
        <v>8</v>
      </c>
      <c r="E1832" t="s">
        <v>1447</v>
      </c>
      <c r="F1832" t="s">
        <v>2256</v>
      </c>
      <c r="G1832" t="s">
        <v>1892</v>
      </c>
      <c r="H1832" t="s">
        <v>1799</v>
      </c>
      <c r="I1832" t="s">
        <v>1799</v>
      </c>
      <c r="J1832">
        <v>28502.758000000002</v>
      </c>
      <c r="K1832" t="s">
        <v>1799</v>
      </c>
      <c r="L1832" t="s">
        <v>1799</v>
      </c>
      <c r="M1832" t="s">
        <v>1799</v>
      </c>
      <c r="N1832" t="s">
        <v>1799</v>
      </c>
      <c r="O1832" s="184" t="str">
        <f>"["&amp;$C1832&amp;"]["&amp;$D1832&amp;"]["&amp;$F1832&amp;"]"</f>
        <v>[S05_InherentCarbonTransferredDetail][8][AmountCO2Transferred]</v>
      </c>
    </row>
    <row r="1833" spans="1:15" x14ac:dyDescent="0.3">
      <c r="A1833" t="s">
        <v>1793</v>
      </c>
      <c r="B1833" t="s">
        <v>2167</v>
      </c>
      <c r="C1833" t="s">
        <v>2169</v>
      </c>
      <c r="D1833">
        <v>9</v>
      </c>
      <c r="E1833" t="s">
        <v>1447</v>
      </c>
      <c r="F1833" t="s">
        <v>2256</v>
      </c>
      <c r="G1833" t="s">
        <v>1892</v>
      </c>
      <c r="H1833" t="s">
        <v>1799</v>
      </c>
      <c r="I1833" t="s">
        <v>1799</v>
      </c>
      <c r="J1833">
        <v>184562.02499999999</v>
      </c>
      <c r="K1833" t="s">
        <v>1799</v>
      </c>
      <c r="L1833" t="s">
        <v>1799</v>
      </c>
      <c r="M1833" t="s">
        <v>1799</v>
      </c>
      <c r="N1833" t="s">
        <v>1799</v>
      </c>
      <c r="O1833" s="184" t="str">
        <f>"["&amp;$C1833&amp;"]["&amp;$D1833&amp;"]["&amp;$F1833&amp;"]"</f>
        <v>[S05_InherentCarbonTransferredDetail][9][AmountCO2Transferred]</v>
      </c>
    </row>
    <row r="1834" spans="1:15" x14ac:dyDescent="0.3">
      <c r="A1834" t="s">
        <v>1793</v>
      </c>
      <c r="B1834" t="s">
        <v>2167</v>
      </c>
      <c r="C1834" t="s">
        <v>2169</v>
      </c>
      <c r="D1834">
        <v>10</v>
      </c>
      <c r="E1834" t="s">
        <v>1447</v>
      </c>
      <c r="F1834" t="s">
        <v>2256</v>
      </c>
      <c r="G1834" t="s">
        <v>1892</v>
      </c>
      <c r="H1834" t="s">
        <v>1799</v>
      </c>
      <c r="I1834" t="s">
        <v>1799</v>
      </c>
      <c r="J1834">
        <v>26298.782999999999</v>
      </c>
      <c r="K1834" t="s">
        <v>1799</v>
      </c>
      <c r="L1834" t="s">
        <v>1799</v>
      </c>
      <c r="M1834" t="s">
        <v>1799</v>
      </c>
      <c r="N1834" t="s">
        <v>1799</v>
      </c>
      <c r="O1834" s="184" t="str">
        <f>"["&amp;$C1834&amp;"]["&amp;$D1834&amp;"]["&amp;$F1834&amp;"]"</f>
        <v>[S05_InherentCarbonTransferredDetail][10][AmountCO2Transferred]</v>
      </c>
    </row>
    <row r="1835" spans="1:15" x14ac:dyDescent="0.3">
      <c r="A1835" t="s">
        <v>1793</v>
      </c>
      <c r="B1835" t="s">
        <v>2167</v>
      </c>
      <c r="C1835" t="s">
        <v>2169</v>
      </c>
      <c r="D1835">
        <v>11</v>
      </c>
      <c r="E1835" t="s">
        <v>1447</v>
      </c>
      <c r="F1835" t="s">
        <v>2256</v>
      </c>
      <c r="G1835" t="s">
        <v>1892</v>
      </c>
      <c r="H1835" t="s">
        <v>1799</v>
      </c>
      <c r="I1835" t="s">
        <v>1799</v>
      </c>
      <c r="J1835">
        <v>142638.29999999999</v>
      </c>
      <c r="K1835" t="s">
        <v>1799</v>
      </c>
      <c r="L1835" t="s">
        <v>1799</v>
      </c>
      <c r="M1835" t="s">
        <v>1799</v>
      </c>
      <c r="N1835" t="s">
        <v>1799</v>
      </c>
      <c r="O1835" s="184" t="str">
        <f>"["&amp;$C1835&amp;"]["&amp;$D1835&amp;"]["&amp;$F1835&amp;"]"</f>
        <v>[S05_InherentCarbonTransferredDetail][11][AmountCO2Transferred]</v>
      </c>
    </row>
    <row r="1836" spans="1:15" x14ac:dyDescent="0.3">
      <c r="A1836" t="s">
        <v>1793</v>
      </c>
      <c r="B1836" t="s">
        <v>2167</v>
      </c>
      <c r="C1836" t="s">
        <v>2169</v>
      </c>
      <c r="D1836">
        <v>12</v>
      </c>
      <c r="E1836" t="s">
        <v>1447</v>
      </c>
      <c r="F1836" t="s">
        <v>2256</v>
      </c>
      <c r="G1836" t="s">
        <v>1892</v>
      </c>
      <c r="H1836" t="s">
        <v>1799</v>
      </c>
      <c r="I1836" t="s">
        <v>1799</v>
      </c>
      <c r="J1836">
        <v>3560544.9</v>
      </c>
      <c r="K1836" t="s">
        <v>1799</v>
      </c>
      <c r="L1836" t="s">
        <v>1799</v>
      </c>
      <c r="M1836" t="s">
        <v>1799</v>
      </c>
      <c r="N1836" t="s">
        <v>1799</v>
      </c>
      <c r="O1836" s="184" t="str">
        <f>"["&amp;$C1836&amp;"]["&amp;$D1836&amp;"]["&amp;$F1836&amp;"]"</f>
        <v>[S05_InherentCarbonTransferredDetail][12][AmountCO2Transferred]</v>
      </c>
    </row>
    <row r="1837" spans="1:15" x14ac:dyDescent="0.3">
      <c r="A1837" t="s">
        <v>1793</v>
      </c>
      <c r="B1837" t="s">
        <v>2167</v>
      </c>
      <c r="C1837" t="s">
        <v>2169</v>
      </c>
      <c r="D1837">
        <v>13</v>
      </c>
      <c r="E1837" t="s">
        <v>1447</v>
      </c>
      <c r="F1837" t="s">
        <v>2256</v>
      </c>
      <c r="G1837" t="s">
        <v>1892</v>
      </c>
      <c r="H1837" t="s">
        <v>1799</v>
      </c>
      <c r="I1837" t="s">
        <v>1799</v>
      </c>
      <c r="J1837">
        <v>35017.351999999999</v>
      </c>
      <c r="K1837" t="s">
        <v>1799</v>
      </c>
      <c r="L1837" t="s">
        <v>1799</v>
      </c>
      <c r="M1837" t="s">
        <v>1799</v>
      </c>
      <c r="N1837" t="s">
        <v>1799</v>
      </c>
      <c r="O1837" s="184" t="str">
        <f>"["&amp;$C1837&amp;"]["&amp;$D1837&amp;"]["&amp;$F1837&amp;"]"</f>
        <v>[S05_InherentCarbonTransferredDetail][13][AmountCO2Transferred]</v>
      </c>
    </row>
    <row r="1838" spans="1:15" x14ac:dyDescent="0.3">
      <c r="A1838" t="s">
        <v>1793</v>
      </c>
      <c r="B1838" t="s">
        <v>2167</v>
      </c>
      <c r="C1838" t="s">
        <v>2169</v>
      </c>
      <c r="D1838">
        <v>14</v>
      </c>
      <c r="E1838" t="s">
        <v>1447</v>
      </c>
      <c r="F1838" t="s">
        <v>2256</v>
      </c>
      <c r="G1838" t="s">
        <v>1892</v>
      </c>
      <c r="H1838" t="s">
        <v>1799</v>
      </c>
      <c r="I1838" t="s">
        <v>1799</v>
      </c>
      <c r="J1838">
        <v>63407.389000000003</v>
      </c>
      <c r="K1838" t="s">
        <v>1799</v>
      </c>
      <c r="L1838" t="s">
        <v>1799</v>
      </c>
      <c r="M1838" t="s">
        <v>1799</v>
      </c>
      <c r="N1838" t="s">
        <v>1799</v>
      </c>
      <c r="O1838" s="184" t="str">
        <f>"["&amp;$C1838&amp;"]["&amp;$D1838&amp;"]["&amp;$F1838&amp;"]"</f>
        <v>[S05_InherentCarbonTransferredDetail][14][AmountCO2Transferred]</v>
      </c>
    </row>
    <row r="1839" spans="1:15" x14ac:dyDescent="0.3">
      <c r="A1839" t="s">
        <v>1793</v>
      </c>
      <c r="B1839" t="s">
        <v>2167</v>
      </c>
      <c r="C1839" t="s">
        <v>2169</v>
      </c>
      <c r="D1839">
        <v>15</v>
      </c>
      <c r="E1839" t="s">
        <v>1447</v>
      </c>
      <c r="F1839" t="s">
        <v>2256</v>
      </c>
      <c r="G1839" t="s">
        <v>1892</v>
      </c>
      <c r="H1839" t="s">
        <v>1799</v>
      </c>
      <c r="I1839" t="s">
        <v>1799</v>
      </c>
      <c r="J1839">
        <v>25971.905999999999</v>
      </c>
      <c r="K1839" t="s">
        <v>1799</v>
      </c>
      <c r="L1839" t="s">
        <v>1799</v>
      </c>
      <c r="M1839" t="s">
        <v>1799</v>
      </c>
      <c r="N1839" t="s">
        <v>1799</v>
      </c>
      <c r="O1839" s="184" t="str">
        <f>"["&amp;$C1839&amp;"]["&amp;$D1839&amp;"]["&amp;$F1839&amp;"]"</f>
        <v>[S05_InherentCarbonTransferredDetail][15][AmountCO2Transferred]</v>
      </c>
    </row>
    <row r="1840" spans="1:15" x14ac:dyDescent="0.3">
      <c r="A1840" t="s">
        <v>1793</v>
      </c>
      <c r="B1840" t="s">
        <v>2167</v>
      </c>
      <c r="C1840" t="s">
        <v>2169</v>
      </c>
      <c r="D1840">
        <v>16</v>
      </c>
      <c r="E1840" t="s">
        <v>1447</v>
      </c>
      <c r="F1840" t="s">
        <v>2256</v>
      </c>
      <c r="G1840" t="s">
        <v>1892</v>
      </c>
      <c r="H1840" t="s">
        <v>1799</v>
      </c>
      <c r="I1840" t="s">
        <v>1799</v>
      </c>
      <c r="J1840">
        <v>30826.698</v>
      </c>
      <c r="K1840" t="s">
        <v>1799</v>
      </c>
      <c r="L1840" t="s">
        <v>1799</v>
      </c>
      <c r="M1840" t="s">
        <v>1799</v>
      </c>
      <c r="N1840" t="s">
        <v>1799</v>
      </c>
      <c r="O1840" s="184" t="str">
        <f>"["&amp;$C1840&amp;"]["&amp;$D1840&amp;"]["&amp;$F1840&amp;"]"</f>
        <v>[S05_InherentCarbonTransferredDetail][16][AmountCO2Transferred]</v>
      </c>
    </row>
    <row r="1841" spans="1:15" x14ac:dyDescent="0.3">
      <c r="A1841" t="s">
        <v>1793</v>
      </c>
      <c r="B1841" t="s">
        <v>2167</v>
      </c>
      <c r="C1841" t="s">
        <v>2169</v>
      </c>
      <c r="D1841">
        <v>17</v>
      </c>
      <c r="E1841" t="s">
        <v>1447</v>
      </c>
      <c r="F1841" t="s">
        <v>2256</v>
      </c>
      <c r="G1841" t="s">
        <v>1892</v>
      </c>
      <c r="H1841" t="s">
        <v>1799</v>
      </c>
      <c r="I1841" t="s">
        <v>1799</v>
      </c>
      <c r="J1841">
        <v>126607.20699999999</v>
      </c>
      <c r="K1841" t="s">
        <v>1799</v>
      </c>
      <c r="L1841" t="s">
        <v>1799</v>
      </c>
      <c r="M1841" t="s">
        <v>1799</v>
      </c>
      <c r="N1841" t="s">
        <v>1799</v>
      </c>
      <c r="O1841" s="184" t="str">
        <f>"["&amp;$C1841&amp;"]["&amp;$D1841&amp;"]["&amp;$F1841&amp;"]"</f>
        <v>[S05_InherentCarbonTransferredDetail][17][AmountCO2Transferred]</v>
      </c>
    </row>
    <row r="1842" spans="1:15" x14ac:dyDescent="0.3">
      <c r="A1842" t="s">
        <v>1793</v>
      </c>
      <c r="B1842" t="s">
        <v>2167</v>
      </c>
      <c r="C1842" t="s">
        <v>2169</v>
      </c>
      <c r="D1842">
        <v>18</v>
      </c>
      <c r="E1842" t="s">
        <v>1447</v>
      </c>
      <c r="F1842" t="s">
        <v>2256</v>
      </c>
      <c r="G1842" t="s">
        <v>1892</v>
      </c>
      <c r="H1842" t="s">
        <v>1799</v>
      </c>
      <c r="I1842" t="s">
        <v>1799</v>
      </c>
      <c r="J1842">
        <v>8072.5969999999998</v>
      </c>
      <c r="K1842" t="s">
        <v>1799</v>
      </c>
      <c r="L1842" t="s">
        <v>1799</v>
      </c>
      <c r="M1842" t="s">
        <v>1799</v>
      </c>
      <c r="N1842" t="s">
        <v>1799</v>
      </c>
      <c r="O1842" s="184" t="str">
        <f>"["&amp;$C1842&amp;"]["&amp;$D1842&amp;"]["&amp;$F1842&amp;"]"</f>
        <v>[S05_InherentCarbonTransferredDetail][18][AmountCO2Transferred]</v>
      </c>
    </row>
    <row r="1843" spans="1:15" x14ac:dyDescent="0.3">
      <c r="A1843" t="s">
        <v>1793</v>
      </c>
      <c r="B1843" t="s">
        <v>2167</v>
      </c>
      <c r="C1843" t="s">
        <v>2169</v>
      </c>
      <c r="D1843">
        <v>19</v>
      </c>
      <c r="E1843" t="s">
        <v>1447</v>
      </c>
      <c r="F1843" t="s">
        <v>2256</v>
      </c>
      <c r="G1843" t="s">
        <v>1892</v>
      </c>
      <c r="H1843" t="s">
        <v>1799</v>
      </c>
      <c r="I1843" t="s">
        <v>1799</v>
      </c>
      <c r="J1843">
        <v>25122.473000000002</v>
      </c>
      <c r="K1843" t="s">
        <v>1799</v>
      </c>
      <c r="L1843" t="s">
        <v>1799</v>
      </c>
      <c r="M1843" t="s">
        <v>1799</v>
      </c>
      <c r="N1843" t="s">
        <v>1799</v>
      </c>
      <c r="O1843" s="184" t="str">
        <f>"["&amp;$C1843&amp;"]["&amp;$D1843&amp;"]["&amp;$F1843&amp;"]"</f>
        <v>[S05_InherentCarbonTransferredDetail][19][AmountCO2Transferred]</v>
      </c>
    </row>
    <row r="1844" spans="1:15" x14ac:dyDescent="0.3">
      <c r="A1844" t="s">
        <v>1793</v>
      </c>
      <c r="B1844" t="s">
        <v>2167</v>
      </c>
      <c r="C1844" t="s">
        <v>2169</v>
      </c>
      <c r="D1844">
        <v>20</v>
      </c>
      <c r="E1844" t="s">
        <v>1447</v>
      </c>
      <c r="F1844" t="s">
        <v>2256</v>
      </c>
      <c r="G1844" t="s">
        <v>1892</v>
      </c>
      <c r="H1844" t="s">
        <v>1799</v>
      </c>
      <c r="I1844" t="s">
        <v>1799</v>
      </c>
      <c r="J1844">
        <v>1310.0609999999999</v>
      </c>
      <c r="K1844" t="s">
        <v>1799</v>
      </c>
      <c r="L1844" t="s">
        <v>1799</v>
      </c>
      <c r="M1844" t="s">
        <v>1799</v>
      </c>
      <c r="N1844" t="s">
        <v>1799</v>
      </c>
      <c r="O1844" s="184" t="str">
        <f>"["&amp;$C1844&amp;"]["&amp;$D1844&amp;"]["&amp;$F1844&amp;"]"</f>
        <v>[S05_InherentCarbonTransferredDetail][20][AmountCO2Transferred]</v>
      </c>
    </row>
    <row r="1845" spans="1:15" x14ac:dyDescent="0.3">
      <c r="A1845" t="s">
        <v>1793</v>
      </c>
      <c r="B1845" t="s">
        <v>2167</v>
      </c>
      <c r="C1845" t="s">
        <v>2169</v>
      </c>
      <c r="D1845">
        <v>21</v>
      </c>
      <c r="E1845" t="s">
        <v>1447</v>
      </c>
      <c r="F1845" t="s">
        <v>2256</v>
      </c>
      <c r="G1845" t="s">
        <v>1892</v>
      </c>
      <c r="H1845" t="s">
        <v>1799</v>
      </c>
      <c r="I1845" t="s">
        <v>1799</v>
      </c>
      <c r="J1845">
        <v>111376.58500000001</v>
      </c>
      <c r="K1845" t="s">
        <v>1799</v>
      </c>
      <c r="L1845" t="s">
        <v>1799</v>
      </c>
      <c r="M1845" t="s">
        <v>1799</v>
      </c>
      <c r="N1845" t="s">
        <v>1799</v>
      </c>
      <c r="O1845" s="184" t="str">
        <f>"["&amp;$C1845&amp;"]["&amp;$D1845&amp;"]["&amp;$F1845&amp;"]"</f>
        <v>[S05_InherentCarbonTransferredDetail][21][AmountCO2Transferred]</v>
      </c>
    </row>
    <row r="1846" spans="1:15" x14ac:dyDescent="0.3">
      <c r="A1846" t="s">
        <v>1793</v>
      </c>
      <c r="B1846" t="s">
        <v>2167</v>
      </c>
      <c r="C1846" t="s">
        <v>2169</v>
      </c>
      <c r="D1846">
        <v>22</v>
      </c>
      <c r="E1846" t="s">
        <v>1447</v>
      </c>
      <c r="F1846" t="s">
        <v>2256</v>
      </c>
      <c r="G1846" t="s">
        <v>1892</v>
      </c>
      <c r="H1846" t="s">
        <v>1799</v>
      </c>
      <c r="I1846" t="s">
        <v>1799</v>
      </c>
      <c r="J1846">
        <v>924.45899999999995</v>
      </c>
      <c r="K1846" t="s">
        <v>1799</v>
      </c>
      <c r="L1846" t="s">
        <v>1799</v>
      </c>
      <c r="M1846" t="s">
        <v>1799</v>
      </c>
      <c r="N1846" t="s">
        <v>1799</v>
      </c>
      <c r="O1846" s="184" t="str">
        <f>"["&amp;$C1846&amp;"]["&amp;$D1846&amp;"]["&amp;$F1846&amp;"]"</f>
        <v>[S05_InherentCarbonTransferredDetail][22][AmountCO2Transferred]</v>
      </c>
    </row>
    <row r="1847" spans="1:15" x14ac:dyDescent="0.3">
      <c r="A1847" t="s">
        <v>1793</v>
      </c>
      <c r="B1847" t="s">
        <v>2167</v>
      </c>
      <c r="C1847" t="s">
        <v>2169</v>
      </c>
      <c r="D1847">
        <v>23</v>
      </c>
      <c r="E1847" t="s">
        <v>1447</v>
      </c>
      <c r="F1847" t="s">
        <v>2256</v>
      </c>
      <c r="G1847" t="s">
        <v>1892</v>
      </c>
      <c r="H1847" t="s">
        <v>1799</v>
      </c>
      <c r="I1847" t="s">
        <v>1799</v>
      </c>
      <c r="J1847">
        <v>10074.949000000001</v>
      </c>
      <c r="K1847" t="s">
        <v>1799</v>
      </c>
      <c r="L1847" t="s">
        <v>1799</v>
      </c>
      <c r="M1847" t="s">
        <v>1799</v>
      </c>
      <c r="N1847" t="s">
        <v>1799</v>
      </c>
      <c r="O1847" s="184" t="str">
        <f>"["&amp;$C1847&amp;"]["&amp;$D1847&amp;"]["&amp;$F1847&amp;"]"</f>
        <v>[S05_InherentCarbonTransferredDetail][23][AmountCO2Transferred]</v>
      </c>
    </row>
    <row r="1848" spans="1:15" x14ac:dyDescent="0.3">
      <c r="A1848" t="s">
        <v>1793</v>
      </c>
      <c r="B1848" t="s">
        <v>2167</v>
      </c>
      <c r="C1848" t="s">
        <v>2169</v>
      </c>
      <c r="D1848">
        <v>24</v>
      </c>
      <c r="E1848" t="s">
        <v>1447</v>
      </c>
      <c r="F1848" t="s">
        <v>2256</v>
      </c>
      <c r="G1848" t="s">
        <v>1892</v>
      </c>
      <c r="H1848" t="s">
        <v>1799</v>
      </c>
      <c r="I1848" t="s">
        <v>1799</v>
      </c>
      <c r="J1848">
        <v>31485.342000000001</v>
      </c>
      <c r="K1848" t="s">
        <v>1799</v>
      </c>
      <c r="L1848" t="s">
        <v>1799</v>
      </c>
      <c r="M1848" t="s">
        <v>1799</v>
      </c>
      <c r="N1848" t="s">
        <v>1799</v>
      </c>
      <c r="O1848" s="184" t="str">
        <f>"["&amp;$C1848&amp;"]["&amp;$D1848&amp;"]["&amp;$F1848&amp;"]"</f>
        <v>[S05_InherentCarbonTransferredDetail][24][AmountCO2Transferred]</v>
      </c>
    </row>
    <row r="1849" spans="1:15" x14ac:dyDescent="0.3">
      <c r="A1849" t="s">
        <v>1793</v>
      </c>
      <c r="B1849" t="s">
        <v>2167</v>
      </c>
      <c r="C1849" t="s">
        <v>2169</v>
      </c>
      <c r="D1849">
        <v>25</v>
      </c>
      <c r="E1849" t="s">
        <v>1447</v>
      </c>
      <c r="F1849" t="s">
        <v>2256</v>
      </c>
      <c r="G1849" t="s">
        <v>1892</v>
      </c>
      <c r="H1849" t="s">
        <v>1799</v>
      </c>
      <c r="I1849" t="s">
        <v>1799</v>
      </c>
      <c r="J1849">
        <v>8745.5849999999991</v>
      </c>
      <c r="K1849" t="s">
        <v>1799</v>
      </c>
      <c r="L1849" t="s">
        <v>1799</v>
      </c>
      <c r="M1849" t="s">
        <v>1799</v>
      </c>
      <c r="N1849" t="s">
        <v>1799</v>
      </c>
      <c r="O1849" s="184" t="str">
        <f>"["&amp;$C1849&amp;"]["&amp;$D1849&amp;"]["&amp;$F1849&amp;"]"</f>
        <v>[S05_InherentCarbonTransferredDetail][25][AmountCO2Transferred]</v>
      </c>
    </row>
    <row r="1850" spans="1:15" x14ac:dyDescent="0.3">
      <c r="A1850" t="s">
        <v>1793</v>
      </c>
      <c r="B1850" t="s">
        <v>2167</v>
      </c>
      <c r="C1850" t="s">
        <v>2169</v>
      </c>
      <c r="D1850">
        <v>26</v>
      </c>
      <c r="E1850" t="s">
        <v>1447</v>
      </c>
      <c r="F1850" t="s">
        <v>2256</v>
      </c>
      <c r="G1850" t="s">
        <v>1892</v>
      </c>
      <c r="H1850" t="s">
        <v>1799</v>
      </c>
      <c r="I1850" t="s">
        <v>1799</v>
      </c>
      <c r="J1850">
        <v>59.23</v>
      </c>
      <c r="K1850" t="s">
        <v>1799</v>
      </c>
      <c r="L1850" t="s">
        <v>1799</v>
      </c>
      <c r="M1850" t="s">
        <v>1799</v>
      </c>
      <c r="N1850" t="s">
        <v>1799</v>
      </c>
      <c r="O1850" s="184" t="str">
        <f>"["&amp;$C1850&amp;"]["&amp;$D1850&amp;"]["&amp;$F1850&amp;"]"</f>
        <v>[S05_InherentCarbonTransferredDetail][26][AmountCO2Transferred]</v>
      </c>
    </row>
    <row r="1851" spans="1:15" x14ac:dyDescent="0.3">
      <c r="A1851" t="s">
        <v>1793</v>
      </c>
      <c r="B1851" t="s">
        <v>2167</v>
      </c>
      <c r="C1851" t="s">
        <v>2169</v>
      </c>
      <c r="D1851">
        <v>27</v>
      </c>
      <c r="E1851" t="s">
        <v>1447</v>
      </c>
      <c r="F1851" t="s">
        <v>2256</v>
      </c>
      <c r="G1851" t="s">
        <v>1892</v>
      </c>
      <c r="H1851" t="s">
        <v>1799</v>
      </c>
      <c r="I1851" t="s">
        <v>1799</v>
      </c>
      <c r="J1851">
        <v>1416.3889999999999</v>
      </c>
      <c r="K1851" t="s">
        <v>1799</v>
      </c>
      <c r="L1851" t="s">
        <v>1799</v>
      </c>
      <c r="M1851" t="s">
        <v>1799</v>
      </c>
      <c r="N1851" t="s">
        <v>1799</v>
      </c>
      <c r="O1851" s="184" t="str">
        <f>"["&amp;$C1851&amp;"]["&amp;$D1851&amp;"]["&amp;$F1851&amp;"]"</f>
        <v>[S05_InherentCarbonTransferredDetail][27][AmountCO2Transferred]</v>
      </c>
    </row>
    <row r="1852" spans="1:15" x14ac:dyDescent="0.3">
      <c r="A1852" t="s">
        <v>1793</v>
      </c>
      <c r="B1852" t="s">
        <v>2167</v>
      </c>
      <c r="C1852" t="s">
        <v>2169</v>
      </c>
      <c r="D1852">
        <v>28</v>
      </c>
      <c r="E1852" t="s">
        <v>1447</v>
      </c>
      <c r="F1852" t="s">
        <v>2256</v>
      </c>
      <c r="G1852" t="s">
        <v>1892</v>
      </c>
      <c r="H1852" t="s">
        <v>1799</v>
      </c>
      <c r="I1852" t="s">
        <v>1799</v>
      </c>
      <c r="J1852">
        <v>201.41800000000001</v>
      </c>
      <c r="K1852" t="s">
        <v>1799</v>
      </c>
      <c r="L1852" t="s">
        <v>1799</v>
      </c>
      <c r="M1852" t="s">
        <v>1799</v>
      </c>
      <c r="N1852" t="s">
        <v>1799</v>
      </c>
      <c r="O1852" s="184" t="str">
        <f>"["&amp;$C1852&amp;"]["&amp;$D1852&amp;"]["&amp;$F1852&amp;"]"</f>
        <v>[S05_InherentCarbonTransferredDetail][28][AmountCO2Transferred]</v>
      </c>
    </row>
    <row r="1853" spans="1:15" x14ac:dyDescent="0.3">
      <c r="A1853" t="s">
        <v>1793</v>
      </c>
      <c r="B1853" t="s">
        <v>2167</v>
      </c>
      <c r="C1853" t="s">
        <v>2169</v>
      </c>
      <c r="D1853">
        <v>29</v>
      </c>
      <c r="E1853" t="s">
        <v>1447</v>
      </c>
      <c r="F1853" t="s">
        <v>2256</v>
      </c>
      <c r="G1853" t="s">
        <v>1892</v>
      </c>
      <c r="H1853" t="s">
        <v>1799</v>
      </c>
      <c r="I1853" t="s">
        <v>1799</v>
      </c>
      <c r="J1853">
        <v>395.517</v>
      </c>
      <c r="K1853" t="s">
        <v>1799</v>
      </c>
      <c r="L1853" t="s">
        <v>1799</v>
      </c>
      <c r="M1853" t="s">
        <v>1799</v>
      </c>
      <c r="N1853" t="s">
        <v>1799</v>
      </c>
      <c r="O1853" s="184" t="str">
        <f>"["&amp;$C1853&amp;"]["&amp;$D1853&amp;"]["&amp;$F1853&amp;"]"</f>
        <v>[S05_InherentCarbonTransferredDetail][29][AmountCO2Transferred]</v>
      </c>
    </row>
    <row r="1854" spans="1:15" x14ac:dyDescent="0.3">
      <c r="A1854" t="s">
        <v>1793</v>
      </c>
      <c r="B1854" t="s">
        <v>2167</v>
      </c>
      <c r="C1854" t="s">
        <v>2169</v>
      </c>
      <c r="D1854">
        <v>30</v>
      </c>
      <c r="E1854" t="s">
        <v>1447</v>
      </c>
      <c r="F1854" t="s">
        <v>2256</v>
      </c>
      <c r="G1854" t="s">
        <v>1892</v>
      </c>
      <c r="H1854" t="s">
        <v>1799</v>
      </c>
      <c r="I1854" t="s">
        <v>1799</v>
      </c>
      <c r="J1854">
        <v>9847.6049999999996</v>
      </c>
      <c r="K1854" t="s">
        <v>1799</v>
      </c>
      <c r="L1854" t="s">
        <v>1799</v>
      </c>
      <c r="M1854" t="s">
        <v>1799</v>
      </c>
      <c r="N1854" t="s">
        <v>1799</v>
      </c>
      <c r="O1854" s="184" t="str">
        <f>"["&amp;$C1854&amp;"]["&amp;$D1854&amp;"]["&amp;$F1854&amp;"]"</f>
        <v>[S05_InherentCarbonTransferredDetail][30][AmountCO2Transferred]</v>
      </c>
    </row>
    <row r="1855" spans="1:15" x14ac:dyDescent="0.3">
      <c r="A1855" t="s">
        <v>1793</v>
      </c>
      <c r="B1855" t="s">
        <v>2167</v>
      </c>
      <c r="C1855" t="s">
        <v>2169</v>
      </c>
      <c r="D1855">
        <v>31</v>
      </c>
      <c r="E1855" t="s">
        <v>1447</v>
      </c>
      <c r="F1855" t="s">
        <v>2256</v>
      </c>
      <c r="G1855" t="s">
        <v>1892</v>
      </c>
      <c r="H1855" t="s">
        <v>1799</v>
      </c>
      <c r="I1855" t="s">
        <v>1799</v>
      </c>
      <c r="J1855">
        <v>8103.9669999999996</v>
      </c>
      <c r="K1855" t="s">
        <v>1799</v>
      </c>
      <c r="L1855" t="s">
        <v>1799</v>
      </c>
      <c r="M1855" t="s">
        <v>1799</v>
      </c>
      <c r="N1855" t="s">
        <v>1799</v>
      </c>
      <c r="O1855" s="184" t="str">
        <f>"["&amp;$C1855&amp;"]["&amp;$D1855&amp;"]["&amp;$F1855&amp;"]"</f>
        <v>[S05_InherentCarbonTransferredDetail][31][AmountCO2Transferred]</v>
      </c>
    </row>
    <row r="1856" spans="1:15" x14ac:dyDescent="0.3">
      <c r="A1856" t="s">
        <v>1793</v>
      </c>
      <c r="B1856" t="s">
        <v>2167</v>
      </c>
      <c r="C1856" t="s">
        <v>2169</v>
      </c>
      <c r="D1856">
        <v>32</v>
      </c>
      <c r="E1856" t="s">
        <v>1447</v>
      </c>
      <c r="F1856" t="s">
        <v>2256</v>
      </c>
      <c r="G1856" t="s">
        <v>1892</v>
      </c>
      <c r="H1856" t="s">
        <v>1799</v>
      </c>
      <c r="I1856" t="s">
        <v>1799</v>
      </c>
      <c r="J1856">
        <v>332.91</v>
      </c>
      <c r="K1856" t="s">
        <v>1799</v>
      </c>
      <c r="L1856" t="s">
        <v>1799</v>
      </c>
      <c r="M1856" t="s">
        <v>1799</v>
      </c>
      <c r="N1856" t="s">
        <v>1799</v>
      </c>
      <c r="O1856" s="184" t="str">
        <f>"["&amp;$C1856&amp;"]["&amp;$D1856&amp;"]["&amp;$F1856&amp;"]"</f>
        <v>[S05_InherentCarbonTransferredDetail][32][AmountCO2Transferred]</v>
      </c>
    </row>
    <row r="1857" spans="1:15" x14ac:dyDescent="0.3">
      <c r="A1857" t="s">
        <v>1793</v>
      </c>
      <c r="B1857" t="s">
        <v>2167</v>
      </c>
      <c r="C1857" t="s">
        <v>2169</v>
      </c>
      <c r="D1857">
        <v>33</v>
      </c>
      <c r="E1857" t="s">
        <v>1447</v>
      </c>
      <c r="F1857" t="s">
        <v>2256</v>
      </c>
      <c r="G1857" t="s">
        <v>1892</v>
      </c>
      <c r="H1857" t="s">
        <v>1799</v>
      </c>
      <c r="I1857" t="s">
        <v>1799</v>
      </c>
      <c r="J1857">
        <v>46187.37</v>
      </c>
      <c r="K1857" t="s">
        <v>1799</v>
      </c>
      <c r="L1857" t="s">
        <v>1799</v>
      </c>
      <c r="M1857" t="s">
        <v>1799</v>
      </c>
      <c r="N1857" t="s">
        <v>1799</v>
      </c>
      <c r="O1857" s="184" t="str">
        <f>"["&amp;$C1857&amp;"]["&amp;$D1857&amp;"]["&amp;$F1857&amp;"]"</f>
        <v>[S05_InherentCarbonTransferredDetail][33][AmountCO2Transferred]</v>
      </c>
    </row>
    <row r="1858" spans="1:15" x14ac:dyDescent="0.3">
      <c r="A1858" t="s">
        <v>1793</v>
      </c>
      <c r="B1858" t="s">
        <v>2167</v>
      </c>
      <c r="C1858" t="s">
        <v>2169</v>
      </c>
      <c r="D1858">
        <v>34</v>
      </c>
      <c r="E1858" t="s">
        <v>1447</v>
      </c>
      <c r="F1858" t="s">
        <v>2256</v>
      </c>
      <c r="G1858" t="s">
        <v>1892</v>
      </c>
      <c r="H1858" t="s">
        <v>1799</v>
      </c>
      <c r="I1858" t="s">
        <v>1799</v>
      </c>
      <c r="J1858">
        <v>972248.7</v>
      </c>
      <c r="K1858" t="s">
        <v>1799</v>
      </c>
      <c r="L1858" t="s">
        <v>1799</v>
      </c>
      <c r="M1858" t="s">
        <v>1799</v>
      </c>
      <c r="N1858" t="s">
        <v>1799</v>
      </c>
      <c r="O1858" s="184" t="str">
        <f>"["&amp;$C1858&amp;"]["&amp;$D1858&amp;"]["&amp;$F1858&amp;"]"</f>
        <v>[S05_InherentCarbonTransferredDetail][34][AmountCO2Transferred]</v>
      </c>
    </row>
    <row r="1859" spans="1:15" x14ac:dyDescent="0.3">
      <c r="A1859" t="s">
        <v>1793</v>
      </c>
      <c r="B1859" t="s">
        <v>2167</v>
      </c>
      <c r="C1859" t="s">
        <v>2169</v>
      </c>
      <c r="D1859">
        <v>35</v>
      </c>
      <c r="E1859" t="s">
        <v>1447</v>
      </c>
      <c r="F1859" t="s">
        <v>2256</v>
      </c>
      <c r="G1859" t="s">
        <v>1892</v>
      </c>
      <c r="H1859" t="s">
        <v>1799</v>
      </c>
      <c r="I1859" t="s">
        <v>1799</v>
      </c>
      <c r="J1859">
        <v>19407.382000000001</v>
      </c>
      <c r="K1859" t="s">
        <v>1799</v>
      </c>
      <c r="L1859" t="s">
        <v>1799</v>
      </c>
      <c r="M1859" t="s">
        <v>1799</v>
      </c>
      <c r="N1859" t="s">
        <v>1799</v>
      </c>
      <c r="O1859" s="184" t="str">
        <f>"["&amp;$C1859&amp;"]["&amp;$D1859&amp;"]["&amp;$F1859&amp;"]"</f>
        <v>[S05_InherentCarbonTransferredDetail][35][AmountCO2Transferred]</v>
      </c>
    </row>
    <row r="1860" spans="1:15" x14ac:dyDescent="0.3">
      <c r="A1860" t="s">
        <v>1793</v>
      </c>
      <c r="B1860" t="s">
        <v>2167</v>
      </c>
      <c r="C1860" t="s">
        <v>2169</v>
      </c>
      <c r="D1860">
        <v>36</v>
      </c>
      <c r="E1860" t="s">
        <v>1447</v>
      </c>
      <c r="F1860" t="s">
        <v>2256</v>
      </c>
      <c r="G1860" t="s">
        <v>1892</v>
      </c>
      <c r="H1860" t="s">
        <v>1799</v>
      </c>
      <c r="I1860" t="s">
        <v>1799</v>
      </c>
      <c r="J1860">
        <v>119903.277</v>
      </c>
      <c r="K1860" t="s">
        <v>1799</v>
      </c>
      <c r="L1860" t="s">
        <v>1799</v>
      </c>
      <c r="M1860" t="s">
        <v>1799</v>
      </c>
      <c r="N1860" t="s">
        <v>1799</v>
      </c>
      <c r="O1860" s="184" t="str">
        <f>"["&amp;$C1860&amp;"]["&amp;$D1860&amp;"]["&amp;$F1860&amp;"]"</f>
        <v>[S05_InherentCarbonTransferredDetail][36][AmountCO2Transferred]</v>
      </c>
    </row>
    <row r="1861" spans="1:15" x14ac:dyDescent="0.3">
      <c r="A1861" t="s">
        <v>1793</v>
      </c>
      <c r="B1861" t="s">
        <v>2167</v>
      </c>
      <c r="C1861" t="s">
        <v>2169</v>
      </c>
      <c r="D1861">
        <v>37</v>
      </c>
      <c r="E1861" t="s">
        <v>1447</v>
      </c>
      <c r="F1861" t="s">
        <v>2256</v>
      </c>
      <c r="G1861" t="s">
        <v>1892</v>
      </c>
      <c r="H1861" t="s">
        <v>1799</v>
      </c>
      <c r="I1861" t="s">
        <v>1799</v>
      </c>
      <c r="J1861">
        <v>42059.896999999997</v>
      </c>
      <c r="K1861" t="s">
        <v>1799</v>
      </c>
      <c r="L1861" t="s">
        <v>1799</v>
      </c>
      <c r="M1861" t="s">
        <v>1799</v>
      </c>
      <c r="N1861" t="s">
        <v>1799</v>
      </c>
      <c r="O1861" s="184" t="str">
        <f>"["&amp;$C1861&amp;"]["&amp;$D1861&amp;"]["&amp;$F1861&amp;"]"</f>
        <v>[S05_InherentCarbonTransferredDetail][37][AmountCO2Transferred]</v>
      </c>
    </row>
    <row r="1862" spans="1:15" x14ac:dyDescent="0.3">
      <c r="A1862" t="s">
        <v>1793</v>
      </c>
      <c r="B1862" t="s">
        <v>2167</v>
      </c>
      <c r="C1862" t="s">
        <v>2169</v>
      </c>
      <c r="D1862">
        <v>38</v>
      </c>
      <c r="E1862" t="s">
        <v>1447</v>
      </c>
      <c r="F1862" t="s">
        <v>2256</v>
      </c>
      <c r="G1862" t="s">
        <v>1892</v>
      </c>
      <c r="H1862" t="s">
        <v>1799</v>
      </c>
      <c r="I1862" t="s">
        <v>1799</v>
      </c>
      <c r="J1862">
        <v>1.86</v>
      </c>
      <c r="K1862" t="s">
        <v>1799</v>
      </c>
      <c r="L1862" t="s">
        <v>1799</v>
      </c>
      <c r="M1862" t="s">
        <v>1799</v>
      </c>
      <c r="N1862" t="s">
        <v>1799</v>
      </c>
      <c r="O1862" s="184" t="str">
        <f>"["&amp;$C1862&amp;"]["&amp;$D1862&amp;"]["&amp;$F1862&amp;"]"</f>
        <v>[S05_InherentCarbonTransferredDetail][38][AmountCO2Transferred]</v>
      </c>
    </row>
    <row r="1863" spans="1:15" x14ac:dyDescent="0.3">
      <c r="A1863" t="s">
        <v>1793</v>
      </c>
      <c r="B1863" t="s">
        <v>2167</v>
      </c>
      <c r="C1863" t="s">
        <v>2169</v>
      </c>
      <c r="D1863">
        <v>39</v>
      </c>
      <c r="E1863" t="s">
        <v>1447</v>
      </c>
      <c r="F1863" t="s">
        <v>2256</v>
      </c>
      <c r="G1863" t="s">
        <v>1892</v>
      </c>
      <c r="H1863" t="s">
        <v>1799</v>
      </c>
      <c r="I1863" t="s">
        <v>1799</v>
      </c>
      <c r="J1863">
        <v>88334.904999999999</v>
      </c>
      <c r="K1863" t="s">
        <v>1799</v>
      </c>
      <c r="L1863" t="s">
        <v>1799</v>
      </c>
      <c r="M1863" t="s">
        <v>1799</v>
      </c>
      <c r="N1863" t="s">
        <v>1799</v>
      </c>
      <c r="O1863" s="184" t="str">
        <f>"["&amp;$C1863&amp;"]["&amp;$D1863&amp;"]["&amp;$F1863&amp;"]"</f>
        <v>[S05_InherentCarbonTransferredDetail][39][AmountCO2Transferred]</v>
      </c>
    </row>
    <row r="1864" spans="1:15" x14ac:dyDescent="0.3">
      <c r="A1864" t="s">
        <v>1793</v>
      </c>
      <c r="B1864" t="s">
        <v>2167</v>
      </c>
      <c r="C1864" t="s">
        <v>2169</v>
      </c>
      <c r="D1864">
        <v>40</v>
      </c>
      <c r="E1864" t="s">
        <v>1447</v>
      </c>
      <c r="F1864" t="s">
        <v>2256</v>
      </c>
      <c r="G1864" t="s">
        <v>1892</v>
      </c>
      <c r="H1864" t="s">
        <v>1799</v>
      </c>
      <c r="I1864" t="s">
        <v>1799</v>
      </c>
      <c r="J1864">
        <v>80390.34</v>
      </c>
      <c r="K1864" t="s">
        <v>1799</v>
      </c>
      <c r="L1864" t="s">
        <v>1799</v>
      </c>
      <c r="M1864" t="s">
        <v>1799</v>
      </c>
      <c r="N1864" t="s">
        <v>1799</v>
      </c>
      <c r="O1864" s="184" t="str">
        <f>"["&amp;$C1864&amp;"]["&amp;$D1864&amp;"]["&amp;$F1864&amp;"]"</f>
        <v>[S05_InherentCarbonTransferredDetail][40][AmountCO2Transferred]</v>
      </c>
    </row>
    <row r="1865" spans="1:15" x14ac:dyDescent="0.3">
      <c r="A1865" t="s">
        <v>1793</v>
      </c>
      <c r="B1865" t="s">
        <v>2167</v>
      </c>
      <c r="C1865" t="s">
        <v>2169</v>
      </c>
      <c r="D1865">
        <v>41</v>
      </c>
      <c r="E1865" t="s">
        <v>1447</v>
      </c>
      <c r="F1865" t="s">
        <v>2256</v>
      </c>
      <c r="G1865" t="s">
        <v>1892</v>
      </c>
      <c r="H1865" t="s">
        <v>1799</v>
      </c>
      <c r="I1865" t="s">
        <v>1799</v>
      </c>
      <c r="J1865">
        <v>1095944.9950000001</v>
      </c>
      <c r="K1865" t="s">
        <v>1799</v>
      </c>
      <c r="L1865" t="s">
        <v>1799</v>
      </c>
      <c r="M1865" t="s">
        <v>1799</v>
      </c>
      <c r="N1865" t="s">
        <v>1799</v>
      </c>
      <c r="O1865" s="184" t="str">
        <f>"["&amp;$C1865&amp;"]["&amp;$D1865&amp;"]["&amp;$F1865&amp;"]"</f>
        <v>[S05_InherentCarbonTransferredDetail][41][AmountCO2Transferred]</v>
      </c>
    </row>
    <row r="1866" spans="1:15" x14ac:dyDescent="0.3">
      <c r="A1866" t="s">
        <v>1793</v>
      </c>
      <c r="B1866" t="s">
        <v>2167</v>
      </c>
      <c r="C1866" t="s">
        <v>2169</v>
      </c>
      <c r="D1866">
        <v>42</v>
      </c>
      <c r="E1866" t="s">
        <v>1447</v>
      </c>
      <c r="F1866" t="s">
        <v>2256</v>
      </c>
      <c r="G1866" t="s">
        <v>1892</v>
      </c>
      <c r="H1866" t="s">
        <v>1799</v>
      </c>
      <c r="I1866" t="s">
        <v>1799</v>
      </c>
      <c r="J1866">
        <v>3141159.8220000002</v>
      </c>
      <c r="K1866" t="s">
        <v>1799</v>
      </c>
      <c r="L1866" t="s">
        <v>1799</v>
      </c>
      <c r="M1866" t="s">
        <v>1799</v>
      </c>
      <c r="N1866" t="s">
        <v>1799</v>
      </c>
      <c r="O1866" s="184" t="str">
        <f>"["&amp;$C1866&amp;"]["&amp;$D1866&amp;"]["&amp;$F1866&amp;"]"</f>
        <v>[S05_InherentCarbonTransferredDetail][42][AmountCO2Transferred]</v>
      </c>
    </row>
    <row r="1867" spans="1:15" x14ac:dyDescent="0.3">
      <c r="A1867" t="s">
        <v>1793</v>
      </c>
      <c r="B1867" t="s">
        <v>2167</v>
      </c>
      <c r="C1867" t="s">
        <v>2169</v>
      </c>
      <c r="D1867">
        <v>43</v>
      </c>
      <c r="E1867" t="s">
        <v>1447</v>
      </c>
      <c r="F1867" t="s">
        <v>2256</v>
      </c>
      <c r="G1867" t="s">
        <v>1892</v>
      </c>
      <c r="H1867" t="s">
        <v>1799</v>
      </c>
      <c r="I1867" t="s">
        <v>1799</v>
      </c>
      <c r="J1867">
        <v>83920.875</v>
      </c>
      <c r="K1867" t="s">
        <v>1799</v>
      </c>
      <c r="L1867" t="s">
        <v>1799</v>
      </c>
      <c r="M1867" t="s">
        <v>1799</v>
      </c>
      <c r="N1867" t="s">
        <v>1799</v>
      </c>
      <c r="O1867" s="184" t="str">
        <f>"["&amp;$C1867&amp;"]["&amp;$D1867&amp;"]["&amp;$F1867&amp;"]"</f>
        <v>[S05_InherentCarbonTransferredDetail][43][AmountCO2Transferred]</v>
      </c>
    </row>
    <row r="1868" spans="1:15" x14ac:dyDescent="0.3">
      <c r="A1868" t="s">
        <v>1793</v>
      </c>
      <c r="B1868" t="s">
        <v>2167</v>
      </c>
      <c r="C1868" t="s">
        <v>2169</v>
      </c>
      <c r="D1868">
        <v>44</v>
      </c>
      <c r="E1868" t="s">
        <v>1447</v>
      </c>
      <c r="F1868" t="s">
        <v>2256</v>
      </c>
      <c r="G1868" t="s">
        <v>1892</v>
      </c>
      <c r="H1868" t="s">
        <v>1799</v>
      </c>
      <c r="I1868" t="s">
        <v>1799</v>
      </c>
      <c r="J1868">
        <v>3432.5680000000002</v>
      </c>
      <c r="K1868" t="s">
        <v>1799</v>
      </c>
      <c r="L1868" t="s">
        <v>1799</v>
      </c>
      <c r="M1868" t="s">
        <v>1799</v>
      </c>
      <c r="N1868" t="s">
        <v>1799</v>
      </c>
      <c r="O1868" s="184" t="str">
        <f>"["&amp;$C1868&amp;"]["&amp;$D1868&amp;"]["&amp;$F1868&amp;"]"</f>
        <v>[S05_InherentCarbonTransferredDetail][44][AmountCO2Transferred]</v>
      </c>
    </row>
    <row r="1869" spans="1:15" x14ac:dyDescent="0.3">
      <c r="A1869" t="s">
        <v>1793</v>
      </c>
      <c r="B1869" t="s">
        <v>2167</v>
      </c>
      <c r="C1869" t="s">
        <v>2169</v>
      </c>
      <c r="D1869">
        <v>45</v>
      </c>
      <c r="E1869" t="s">
        <v>1447</v>
      </c>
      <c r="F1869" t="s">
        <v>2256</v>
      </c>
      <c r="G1869" t="s">
        <v>1892</v>
      </c>
      <c r="H1869" t="s">
        <v>1799</v>
      </c>
      <c r="I1869" t="s">
        <v>1799</v>
      </c>
      <c r="J1869">
        <v>137395.527</v>
      </c>
      <c r="K1869" t="s">
        <v>1799</v>
      </c>
      <c r="L1869" t="s">
        <v>1799</v>
      </c>
      <c r="M1869" t="s">
        <v>1799</v>
      </c>
      <c r="N1869" t="s">
        <v>1799</v>
      </c>
      <c r="O1869" s="184" t="str">
        <f>"["&amp;$C1869&amp;"]["&amp;$D1869&amp;"]["&amp;$F1869&amp;"]"</f>
        <v>[S05_InherentCarbonTransferredDetail][45][AmountCO2Transferred]</v>
      </c>
    </row>
    <row r="1870" spans="1:15" x14ac:dyDescent="0.3">
      <c r="A1870" t="s">
        <v>1793</v>
      </c>
      <c r="B1870" t="s">
        <v>2167</v>
      </c>
      <c r="C1870" t="s">
        <v>2169</v>
      </c>
      <c r="D1870">
        <v>46</v>
      </c>
      <c r="E1870" t="s">
        <v>1447</v>
      </c>
      <c r="F1870" t="s">
        <v>2256</v>
      </c>
      <c r="G1870" t="s">
        <v>1892</v>
      </c>
      <c r="H1870" t="s">
        <v>1799</v>
      </c>
      <c r="I1870" t="s">
        <v>1799</v>
      </c>
      <c r="J1870">
        <v>42070.277000000002</v>
      </c>
      <c r="K1870" t="s">
        <v>1799</v>
      </c>
      <c r="L1870" t="s">
        <v>1799</v>
      </c>
      <c r="M1870" t="s">
        <v>1799</v>
      </c>
      <c r="N1870" t="s">
        <v>1799</v>
      </c>
      <c r="O1870" s="184" t="str">
        <f>"["&amp;$C1870&amp;"]["&amp;$D1870&amp;"]["&amp;$F1870&amp;"]"</f>
        <v>[S05_InherentCarbonTransferredDetail][46][AmountCO2Transferred]</v>
      </c>
    </row>
    <row r="1871" spans="1:15" x14ac:dyDescent="0.3">
      <c r="A1871" t="s">
        <v>1793</v>
      </c>
      <c r="B1871" t="s">
        <v>2167</v>
      </c>
      <c r="C1871" t="s">
        <v>2169</v>
      </c>
      <c r="D1871">
        <v>47</v>
      </c>
      <c r="E1871" t="s">
        <v>1447</v>
      </c>
      <c r="F1871" t="s">
        <v>2256</v>
      </c>
      <c r="G1871" t="s">
        <v>1892</v>
      </c>
      <c r="H1871" t="s">
        <v>1799</v>
      </c>
      <c r="I1871" t="s">
        <v>1799</v>
      </c>
      <c r="J1871">
        <v>26107.695</v>
      </c>
      <c r="K1871" t="s">
        <v>1799</v>
      </c>
      <c r="L1871" t="s">
        <v>1799</v>
      </c>
      <c r="M1871" t="s">
        <v>1799</v>
      </c>
      <c r="N1871" t="s">
        <v>1799</v>
      </c>
      <c r="O1871" s="184" t="str">
        <f>"["&amp;$C1871&amp;"]["&amp;$D1871&amp;"]["&amp;$F1871&amp;"]"</f>
        <v>[S05_InherentCarbonTransferredDetail][47][AmountCO2Transferred]</v>
      </c>
    </row>
    <row r="1872" spans="1:15" x14ac:dyDescent="0.3">
      <c r="A1872" t="s">
        <v>1793</v>
      </c>
      <c r="B1872" t="s">
        <v>2167</v>
      </c>
      <c r="C1872" t="s">
        <v>2169</v>
      </c>
      <c r="D1872">
        <v>48</v>
      </c>
      <c r="E1872" t="s">
        <v>1447</v>
      </c>
      <c r="F1872" t="s">
        <v>2256</v>
      </c>
      <c r="G1872" t="s">
        <v>1892</v>
      </c>
      <c r="H1872" t="s">
        <v>1799</v>
      </c>
      <c r="I1872" t="s">
        <v>1799</v>
      </c>
      <c r="J1872">
        <v>301197.5</v>
      </c>
      <c r="K1872" t="s">
        <v>1799</v>
      </c>
      <c r="L1872" t="s">
        <v>1799</v>
      </c>
      <c r="M1872" t="s">
        <v>1799</v>
      </c>
      <c r="N1872" t="s">
        <v>1799</v>
      </c>
      <c r="O1872" s="184" t="str">
        <f>"["&amp;$C1872&amp;"]["&amp;$D1872&amp;"]["&amp;$F1872&amp;"]"</f>
        <v>[S05_InherentCarbonTransferredDetail][48][AmountCO2Transferred]</v>
      </c>
    </row>
    <row r="1873" spans="1:15" x14ac:dyDescent="0.3">
      <c r="A1873" t="s">
        <v>1793</v>
      </c>
      <c r="B1873" t="s">
        <v>2167</v>
      </c>
      <c r="C1873" t="s">
        <v>2169</v>
      </c>
      <c r="D1873">
        <v>49</v>
      </c>
      <c r="E1873" t="s">
        <v>1447</v>
      </c>
      <c r="F1873" t="s">
        <v>2256</v>
      </c>
      <c r="G1873" t="s">
        <v>1892</v>
      </c>
      <c r="H1873" t="s">
        <v>1799</v>
      </c>
      <c r="I1873" t="s">
        <v>1799</v>
      </c>
      <c r="J1873">
        <v>2494349.4</v>
      </c>
      <c r="K1873" t="s">
        <v>1799</v>
      </c>
      <c r="L1873" t="s">
        <v>1799</v>
      </c>
      <c r="M1873" t="s">
        <v>1799</v>
      </c>
      <c r="N1873" t="s">
        <v>1799</v>
      </c>
      <c r="O1873" s="184" t="str">
        <f>"["&amp;$C1873&amp;"]["&amp;$D1873&amp;"]["&amp;$F1873&amp;"]"</f>
        <v>[S05_InherentCarbonTransferredDetail][49][AmountCO2Transferred]</v>
      </c>
    </row>
    <row r="1874" spans="1:15" x14ac:dyDescent="0.3">
      <c r="A1874" t="s">
        <v>1793</v>
      </c>
      <c r="B1874" t="s">
        <v>2167</v>
      </c>
      <c r="C1874" t="s">
        <v>2169</v>
      </c>
      <c r="D1874">
        <v>50</v>
      </c>
      <c r="E1874" t="s">
        <v>1447</v>
      </c>
      <c r="F1874" t="s">
        <v>2256</v>
      </c>
      <c r="G1874" t="s">
        <v>1892</v>
      </c>
      <c r="H1874" t="s">
        <v>1799</v>
      </c>
      <c r="I1874" t="s">
        <v>1799</v>
      </c>
      <c r="J1874">
        <v>35093.800000000003</v>
      </c>
      <c r="K1874" t="s">
        <v>1799</v>
      </c>
      <c r="L1874" t="s">
        <v>1799</v>
      </c>
      <c r="M1874" t="s">
        <v>1799</v>
      </c>
      <c r="N1874" t="s">
        <v>1799</v>
      </c>
      <c r="O1874" s="184" t="str">
        <f>"["&amp;$C1874&amp;"]["&amp;$D1874&amp;"]["&amp;$F1874&amp;"]"</f>
        <v>[S05_InherentCarbonTransferredDetail][50][AmountCO2Transferred]</v>
      </c>
    </row>
    <row r="1875" spans="1:15" x14ac:dyDescent="0.3">
      <c r="A1875" t="s">
        <v>1793</v>
      </c>
      <c r="B1875" t="s">
        <v>2167</v>
      </c>
      <c r="C1875" t="s">
        <v>2169</v>
      </c>
      <c r="D1875">
        <v>51</v>
      </c>
      <c r="E1875" t="s">
        <v>1447</v>
      </c>
      <c r="F1875" t="s">
        <v>2256</v>
      </c>
      <c r="G1875" t="s">
        <v>1892</v>
      </c>
      <c r="H1875" t="s">
        <v>1799</v>
      </c>
      <c r="I1875" t="s">
        <v>1799</v>
      </c>
      <c r="J1875">
        <v>894348.28899999999</v>
      </c>
      <c r="K1875" t="s">
        <v>1799</v>
      </c>
      <c r="L1875" t="s">
        <v>1799</v>
      </c>
      <c r="M1875" t="s">
        <v>1799</v>
      </c>
      <c r="N1875" t="s">
        <v>1799</v>
      </c>
      <c r="O1875" s="184" t="str">
        <f>"["&amp;$C1875&amp;"]["&amp;$D1875&amp;"]["&amp;$F1875&amp;"]"</f>
        <v>[S05_InherentCarbonTransferredDetail][51][AmountCO2Transferred]</v>
      </c>
    </row>
    <row r="1876" spans="1:15" x14ac:dyDescent="0.3">
      <c r="A1876" t="s">
        <v>1793</v>
      </c>
      <c r="B1876" t="s">
        <v>2167</v>
      </c>
      <c r="C1876" t="s">
        <v>2169</v>
      </c>
      <c r="D1876">
        <v>52</v>
      </c>
      <c r="E1876" t="s">
        <v>1447</v>
      </c>
      <c r="F1876" t="s">
        <v>2256</v>
      </c>
      <c r="G1876" t="s">
        <v>1892</v>
      </c>
      <c r="H1876" t="s">
        <v>1799</v>
      </c>
      <c r="I1876" t="s">
        <v>1799</v>
      </c>
      <c r="J1876">
        <v>1858857.3810000001</v>
      </c>
      <c r="K1876" t="s">
        <v>1799</v>
      </c>
      <c r="L1876" t="s">
        <v>1799</v>
      </c>
      <c r="M1876" t="s">
        <v>1799</v>
      </c>
      <c r="N1876" t="s">
        <v>1799</v>
      </c>
      <c r="O1876" s="184" t="str">
        <f>"["&amp;$C1876&amp;"]["&amp;$D1876&amp;"]["&amp;$F1876&amp;"]"</f>
        <v>[S05_InherentCarbonTransferredDetail][52][AmountCO2Transferred]</v>
      </c>
    </row>
    <row r="1877" spans="1:15" x14ac:dyDescent="0.3">
      <c r="A1877" t="s">
        <v>1793</v>
      </c>
      <c r="B1877" t="s">
        <v>2167</v>
      </c>
      <c r="C1877" t="s">
        <v>2169</v>
      </c>
      <c r="D1877">
        <v>53</v>
      </c>
      <c r="E1877" t="s">
        <v>1447</v>
      </c>
      <c r="F1877" t="s">
        <v>2256</v>
      </c>
      <c r="G1877" t="s">
        <v>1892</v>
      </c>
      <c r="H1877" t="s">
        <v>1799</v>
      </c>
      <c r="I1877" t="s">
        <v>1799</v>
      </c>
      <c r="J1877">
        <v>64868.237000000001</v>
      </c>
      <c r="K1877" t="s">
        <v>1799</v>
      </c>
      <c r="L1877" t="s">
        <v>1799</v>
      </c>
      <c r="M1877" t="s">
        <v>1799</v>
      </c>
      <c r="N1877" t="s">
        <v>1799</v>
      </c>
      <c r="O1877" s="184" t="str">
        <f>"["&amp;$C1877&amp;"]["&amp;$D1877&amp;"]["&amp;$F1877&amp;"]"</f>
        <v>[S05_InherentCarbonTransferredDetail][53][AmountCO2Transferred]</v>
      </c>
    </row>
    <row r="1878" spans="1:15" x14ac:dyDescent="0.3">
      <c r="A1878" t="s">
        <v>1793</v>
      </c>
      <c r="B1878" t="s">
        <v>2167</v>
      </c>
      <c r="C1878" t="s">
        <v>2169</v>
      </c>
      <c r="D1878">
        <v>54</v>
      </c>
      <c r="E1878" t="s">
        <v>1447</v>
      </c>
      <c r="F1878" t="s">
        <v>2256</v>
      </c>
      <c r="G1878" t="s">
        <v>1892</v>
      </c>
      <c r="H1878" t="s">
        <v>1799</v>
      </c>
      <c r="I1878" t="s">
        <v>1799</v>
      </c>
      <c r="J1878">
        <v>1473957.8359999999</v>
      </c>
      <c r="K1878" t="s">
        <v>1799</v>
      </c>
      <c r="L1878" t="s">
        <v>1799</v>
      </c>
      <c r="M1878" t="s">
        <v>1799</v>
      </c>
      <c r="N1878" t="s">
        <v>1799</v>
      </c>
      <c r="O1878" s="184" t="str">
        <f>"["&amp;$C1878&amp;"]["&amp;$D1878&amp;"]["&amp;$F1878&amp;"]"</f>
        <v>[S05_InherentCarbonTransferredDetail][54][AmountCO2Transferred]</v>
      </c>
    </row>
    <row r="1879" spans="1:15" x14ac:dyDescent="0.3">
      <c r="A1879" t="s">
        <v>1793</v>
      </c>
      <c r="B1879" t="s">
        <v>2167</v>
      </c>
      <c r="C1879" t="s">
        <v>2169</v>
      </c>
      <c r="D1879">
        <v>55</v>
      </c>
      <c r="E1879" t="s">
        <v>1447</v>
      </c>
      <c r="F1879" t="s">
        <v>2256</v>
      </c>
      <c r="G1879" t="s">
        <v>1892</v>
      </c>
      <c r="H1879" t="s">
        <v>1799</v>
      </c>
      <c r="I1879" t="s">
        <v>1799</v>
      </c>
      <c r="J1879">
        <v>3105528.736</v>
      </c>
      <c r="K1879" t="s">
        <v>1799</v>
      </c>
      <c r="L1879" t="s">
        <v>1799</v>
      </c>
      <c r="M1879" t="s">
        <v>1799</v>
      </c>
      <c r="N1879" t="s">
        <v>1799</v>
      </c>
      <c r="O1879" s="184" t="str">
        <f>"["&amp;$C1879&amp;"]["&amp;$D1879&amp;"]["&amp;$F1879&amp;"]"</f>
        <v>[S05_InherentCarbonTransferredDetail][55][AmountCO2Transferred]</v>
      </c>
    </row>
    <row r="1880" spans="1:15" x14ac:dyDescent="0.3">
      <c r="A1880" t="s">
        <v>1793</v>
      </c>
      <c r="B1880" t="s">
        <v>2167</v>
      </c>
      <c r="C1880" t="s">
        <v>2169</v>
      </c>
      <c r="D1880">
        <v>56</v>
      </c>
      <c r="E1880" t="s">
        <v>1447</v>
      </c>
      <c r="F1880" t="s">
        <v>2256</v>
      </c>
      <c r="G1880" t="s">
        <v>1892</v>
      </c>
      <c r="H1880" t="s">
        <v>1799</v>
      </c>
      <c r="I1880" t="s">
        <v>1799</v>
      </c>
      <c r="J1880">
        <v>2385985.5759999999</v>
      </c>
      <c r="K1880" t="s">
        <v>1799</v>
      </c>
      <c r="L1880" t="s">
        <v>1799</v>
      </c>
      <c r="M1880" t="s">
        <v>1799</v>
      </c>
      <c r="N1880" t="s">
        <v>1799</v>
      </c>
      <c r="O1880" s="184" t="str">
        <f>"["&amp;$C1880&amp;"]["&amp;$D1880&amp;"]["&amp;$F1880&amp;"]"</f>
        <v>[S05_InherentCarbonTransferredDetail][56][AmountCO2Transferred]</v>
      </c>
    </row>
    <row r="1881" spans="1:15" x14ac:dyDescent="0.3">
      <c r="A1881" t="s">
        <v>1793</v>
      </c>
      <c r="B1881" t="s">
        <v>2167</v>
      </c>
      <c r="C1881" t="s">
        <v>2169</v>
      </c>
      <c r="D1881">
        <v>57</v>
      </c>
      <c r="E1881" t="s">
        <v>1447</v>
      </c>
      <c r="F1881" t="s">
        <v>2256</v>
      </c>
      <c r="G1881" t="s">
        <v>1892</v>
      </c>
      <c r="H1881" t="s">
        <v>1799</v>
      </c>
      <c r="I1881" t="s">
        <v>1799</v>
      </c>
      <c r="J1881">
        <v>75659.845000000001</v>
      </c>
      <c r="K1881" t="s">
        <v>1799</v>
      </c>
      <c r="L1881" t="s">
        <v>1799</v>
      </c>
      <c r="M1881" t="s">
        <v>1799</v>
      </c>
      <c r="N1881" t="s">
        <v>1799</v>
      </c>
      <c r="O1881" s="184" t="str">
        <f>"["&amp;$C1881&amp;"]["&amp;$D1881&amp;"]["&amp;$F1881&amp;"]"</f>
        <v>[S05_InherentCarbonTransferredDetail][57][AmountCO2Transferred]</v>
      </c>
    </row>
    <row r="1882" spans="1:15" x14ac:dyDescent="0.3">
      <c r="A1882" t="s">
        <v>1793</v>
      </c>
      <c r="B1882" t="s">
        <v>2167</v>
      </c>
      <c r="C1882" t="s">
        <v>2169</v>
      </c>
      <c r="D1882">
        <v>58</v>
      </c>
      <c r="E1882" t="s">
        <v>1447</v>
      </c>
      <c r="F1882" t="s">
        <v>2256</v>
      </c>
      <c r="G1882" t="s">
        <v>1892</v>
      </c>
      <c r="H1882" t="s">
        <v>1799</v>
      </c>
      <c r="I1882" t="s">
        <v>1799</v>
      </c>
      <c r="J1882">
        <v>9274.6270000000004</v>
      </c>
      <c r="K1882" t="s">
        <v>1799</v>
      </c>
      <c r="L1882" t="s">
        <v>1799</v>
      </c>
      <c r="M1882" t="s">
        <v>1799</v>
      </c>
      <c r="N1882" t="s">
        <v>1799</v>
      </c>
      <c r="O1882" s="184" t="str">
        <f>"["&amp;$C1882&amp;"]["&amp;$D1882&amp;"]["&amp;$F1882&amp;"]"</f>
        <v>[S05_InherentCarbonTransferredDetail][58][AmountCO2Transferred]</v>
      </c>
    </row>
    <row r="1883" spans="1:15" x14ac:dyDescent="0.3">
      <c r="A1883" t="s">
        <v>1793</v>
      </c>
      <c r="B1883" t="s">
        <v>2167</v>
      </c>
      <c r="C1883" t="s">
        <v>2169</v>
      </c>
      <c r="D1883">
        <v>59</v>
      </c>
      <c r="E1883" t="s">
        <v>1447</v>
      </c>
      <c r="F1883" t="s">
        <v>2256</v>
      </c>
      <c r="G1883" t="s">
        <v>1892</v>
      </c>
      <c r="H1883" t="s">
        <v>1799</v>
      </c>
      <c r="I1883" t="s">
        <v>1799</v>
      </c>
      <c r="J1883">
        <v>347739.1</v>
      </c>
      <c r="K1883" t="s">
        <v>1799</v>
      </c>
      <c r="L1883" t="s">
        <v>1799</v>
      </c>
      <c r="M1883" t="s">
        <v>1799</v>
      </c>
      <c r="N1883" t="s">
        <v>1799</v>
      </c>
      <c r="O1883" s="184" t="str">
        <f>"["&amp;$C1883&amp;"]["&amp;$D1883&amp;"]["&amp;$F1883&amp;"]"</f>
        <v>[S05_InherentCarbonTransferredDetail][59][AmountCO2Transferred]</v>
      </c>
    </row>
    <row r="1884" spans="1:15" x14ac:dyDescent="0.3">
      <c r="A1884" t="s">
        <v>1793</v>
      </c>
      <c r="B1884" t="s">
        <v>2167</v>
      </c>
      <c r="C1884" t="s">
        <v>2169</v>
      </c>
      <c r="D1884">
        <v>60</v>
      </c>
      <c r="E1884" t="s">
        <v>1447</v>
      </c>
      <c r="F1884" t="s">
        <v>2256</v>
      </c>
      <c r="G1884" t="s">
        <v>1892</v>
      </c>
      <c r="H1884" t="s">
        <v>1799</v>
      </c>
      <c r="I1884" t="s">
        <v>1799</v>
      </c>
      <c r="J1884">
        <v>14608.672</v>
      </c>
      <c r="K1884" t="s">
        <v>1799</v>
      </c>
      <c r="L1884" t="s">
        <v>1799</v>
      </c>
      <c r="M1884" t="s">
        <v>1799</v>
      </c>
      <c r="N1884" t="s">
        <v>1799</v>
      </c>
      <c r="O1884" s="184" t="str">
        <f>"["&amp;$C1884&amp;"]["&amp;$D1884&amp;"]["&amp;$F1884&amp;"]"</f>
        <v>[S05_InherentCarbonTransferredDetail][60][AmountCO2Transferred]</v>
      </c>
    </row>
    <row r="1885" spans="1:15" x14ac:dyDescent="0.3">
      <c r="A1885" t="s">
        <v>1793</v>
      </c>
      <c r="B1885" t="s">
        <v>2167</v>
      </c>
      <c r="C1885" t="s">
        <v>2169</v>
      </c>
      <c r="D1885">
        <v>61</v>
      </c>
      <c r="E1885" t="s">
        <v>1447</v>
      </c>
      <c r="F1885" t="s">
        <v>2256</v>
      </c>
      <c r="G1885" t="s">
        <v>1892</v>
      </c>
      <c r="H1885" t="s">
        <v>1799</v>
      </c>
      <c r="I1885" t="s">
        <v>1799</v>
      </c>
      <c r="J1885">
        <v>1534.9929999999999</v>
      </c>
      <c r="K1885" t="s">
        <v>1799</v>
      </c>
      <c r="L1885" t="s">
        <v>1799</v>
      </c>
      <c r="M1885" t="s">
        <v>1799</v>
      </c>
      <c r="N1885" t="s">
        <v>1799</v>
      </c>
      <c r="O1885" s="184" t="str">
        <f>"["&amp;$C1885&amp;"]["&amp;$D1885&amp;"]["&amp;$F1885&amp;"]"</f>
        <v>[S05_InherentCarbonTransferredDetail][61][AmountCO2Transferred]</v>
      </c>
    </row>
    <row r="1886" spans="1:15" x14ac:dyDescent="0.3">
      <c r="A1886" t="s">
        <v>1793</v>
      </c>
      <c r="B1886" t="s">
        <v>2167</v>
      </c>
      <c r="C1886" t="s">
        <v>2169</v>
      </c>
      <c r="D1886">
        <v>62</v>
      </c>
      <c r="E1886" t="s">
        <v>1447</v>
      </c>
      <c r="F1886" t="s">
        <v>2256</v>
      </c>
      <c r="G1886" t="s">
        <v>1892</v>
      </c>
      <c r="H1886" t="s">
        <v>1799</v>
      </c>
      <c r="I1886" t="s">
        <v>1799</v>
      </c>
      <c r="J1886">
        <v>1194.3</v>
      </c>
      <c r="K1886" t="s">
        <v>1799</v>
      </c>
      <c r="L1886" t="s">
        <v>1799</v>
      </c>
      <c r="M1886" t="s">
        <v>1799</v>
      </c>
      <c r="N1886" t="s">
        <v>1799</v>
      </c>
      <c r="O1886" s="184" t="str">
        <f>"["&amp;$C1886&amp;"]["&amp;$D1886&amp;"]["&amp;$F1886&amp;"]"</f>
        <v>[S05_InherentCarbonTransferredDetail][62][AmountCO2Transferred]</v>
      </c>
    </row>
    <row r="1887" spans="1:15" x14ac:dyDescent="0.3">
      <c r="A1887" t="s">
        <v>1793</v>
      </c>
      <c r="B1887" t="s">
        <v>2167</v>
      </c>
      <c r="C1887" t="s">
        <v>2169</v>
      </c>
      <c r="D1887">
        <v>63</v>
      </c>
      <c r="E1887" t="s">
        <v>1447</v>
      </c>
      <c r="F1887" t="s">
        <v>2256</v>
      </c>
      <c r="G1887" t="s">
        <v>1892</v>
      </c>
      <c r="H1887" t="s">
        <v>1799</v>
      </c>
      <c r="I1887" t="s">
        <v>1799</v>
      </c>
      <c r="J1887">
        <v>5328.0969999999998</v>
      </c>
      <c r="K1887" t="s">
        <v>1799</v>
      </c>
      <c r="L1887" t="s">
        <v>1799</v>
      </c>
      <c r="M1887" t="s">
        <v>1799</v>
      </c>
      <c r="N1887" t="s">
        <v>1799</v>
      </c>
      <c r="O1887" s="184" t="str">
        <f>"["&amp;$C1887&amp;"]["&amp;$D1887&amp;"]["&amp;$F1887&amp;"]"</f>
        <v>[S05_InherentCarbonTransferredDetail][63][AmountCO2Transferred]</v>
      </c>
    </row>
    <row r="1888" spans="1:15" x14ac:dyDescent="0.3">
      <c r="A1888" t="s">
        <v>1793</v>
      </c>
      <c r="B1888" t="s">
        <v>2167</v>
      </c>
      <c r="C1888" t="s">
        <v>2169</v>
      </c>
      <c r="D1888">
        <v>64</v>
      </c>
      <c r="E1888" t="s">
        <v>1447</v>
      </c>
      <c r="F1888" t="s">
        <v>2256</v>
      </c>
      <c r="G1888" t="s">
        <v>1892</v>
      </c>
      <c r="H1888" t="s">
        <v>1799</v>
      </c>
      <c r="I1888" t="s">
        <v>1799</v>
      </c>
      <c r="J1888">
        <v>1863.567</v>
      </c>
      <c r="K1888" t="s">
        <v>1799</v>
      </c>
      <c r="L1888" t="s">
        <v>1799</v>
      </c>
      <c r="M1888" t="s">
        <v>1799</v>
      </c>
      <c r="N1888" t="s">
        <v>1799</v>
      </c>
      <c r="O1888" s="184" t="str">
        <f>"["&amp;$C1888&amp;"]["&amp;$D1888&amp;"]["&amp;$F1888&amp;"]"</f>
        <v>[S05_InherentCarbonTransferredDetail][64][AmountCO2Transferred]</v>
      </c>
    </row>
    <row r="1889" spans="1:15" x14ac:dyDescent="0.3">
      <c r="A1889" t="s">
        <v>1793</v>
      </c>
      <c r="B1889" t="s">
        <v>2167</v>
      </c>
      <c r="C1889" t="s">
        <v>2169</v>
      </c>
      <c r="D1889">
        <v>65</v>
      </c>
      <c r="E1889" t="s">
        <v>1447</v>
      </c>
      <c r="F1889" t="s">
        <v>2256</v>
      </c>
      <c r="G1889" t="s">
        <v>1892</v>
      </c>
      <c r="H1889" t="s">
        <v>1799</v>
      </c>
      <c r="I1889" t="s">
        <v>1799</v>
      </c>
      <c r="J1889">
        <v>7563</v>
      </c>
      <c r="K1889" t="s">
        <v>1799</v>
      </c>
      <c r="L1889" t="s">
        <v>1799</v>
      </c>
      <c r="M1889" t="s">
        <v>1799</v>
      </c>
      <c r="N1889" t="s">
        <v>1799</v>
      </c>
      <c r="O1889" s="184" t="str">
        <f>"["&amp;$C1889&amp;"]["&amp;$D1889&amp;"]["&amp;$F1889&amp;"]"</f>
        <v>[S05_InherentCarbonTransferredDetail][65][AmountCO2Transferred]</v>
      </c>
    </row>
    <row r="1890" spans="1:15" x14ac:dyDescent="0.3">
      <c r="A1890" t="s">
        <v>1793</v>
      </c>
      <c r="B1890" t="s">
        <v>2167</v>
      </c>
      <c r="C1890" t="s">
        <v>2169</v>
      </c>
      <c r="D1890">
        <v>66</v>
      </c>
      <c r="E1890" t="s">
        <v>1447</v>
      </c>
      <c r="F1890" t="s">
        <v>2256</v>
      </c>
      <c r="G1890" t="s">
        <v>1892</v>
      </c>
      <c r="H1890" t="s">
        <v>1799</v>
      </c>
      <c r="I1890" t="s">
        <v>1799</v>
      </c>
      <c r="J1890">
        <v>16433.118999999999</v>
      </c>
      <c r="K1890" t="s">
        <v>1799</v>
      </c>
      <c r="L1890" t="s">
        <v>1799</v>
      </c>
      <c r="M1890" t="s">
        <v>1799</v>
      </c>
      <c r="N1890" t="s">
        <v>1799</v>
      </c>
      <c r="O1890" s="184" t="str">
        <f>"["&amp;$C1890&amp;"]["&amp;$D1890&amp;"]["&amp;$F1890&amp;"]"</f>
        <v>[S05_InherentCarbonTransferredDetail][66][AmountCO2Transferred]</v>
      </c>
    </row>
    <row r="1891" spans="1:15" x14ac:dyDescent="0.3">
      <c r="A1891" t="s">
        <v>1793</v>
      </c>
      <c r="B1891" t="s">
        <v>2167</v>
      </c>
      <c r="C1891" t="s">
        <v>2169</v>
      </c>
      <c r="D1891">
        <v>67</v>
      </c>
      <c r="E1891" t="s">
        <v>1447</v>
      </c>
      <c r="F1891" t="s">
        <v>2256</v>
      </c>
      <c r="G1891" t="s">
        <v>1892</v>
      </c>
      <c r="H1891" t="s">
        <v>1799</v>
      </c>
      <c r="I1891" t="s">
        <v>1799</v>
      </c>
      <c r="J1891">
        <v>3144</v>
      </c>
      <c r="K1891" t="s">
        <v>1799</v>
      </c>
      <c r="L1891" t="s">
        <v>1799</v>
      </c>
      <c r="M1891" t="s">
        <v>1799</v>
      </c>
      <c r="N1891" t="s">
        <v>1799</v>
      </c>
      <c r="O1891" s="184" t="str">
        <f>"["&amp;$C1891&amp;"]["&amp;$D1891&amp;"]["&amp;$F1891&amp;"]"</f>
        <v>[S05_InherentCarbonTransferredDetail][67][AmountCO2Transferred]</v>
      </c>
    </row>
    <row r="1892" spans="1:15" x14ac:dyDescent="0.3">
      <c r="A1892" t="s">
        <v>1793</v>
      </c>
      <c r="B1892" t="s">
        <v>2167</v>
      </c>
      <c r="C1892" t="s">
        <v>2169</v>
      </c>
      <c r="D1892">
        <v>68</v>
      </c>
      <c r="E1892" t="s">
        <v>1447</v>
      </c>
      <c r="F1892" t="s">
        <v>2256</v>
      </c>
      <c r="G1892" t="s">
        <v>1892</v>
      </c>
      <c r="H1892" t="s">
        <v>1799</v>
      </c>
      <c r="I1892" t="s">
        <v>1799</v>
      </c>
      <c r="J1892">
        <v>1090.8694929599999</v>
      </c>
      <c r="K1892" t="s">
        <v>1799</v>
      </c>
      <c r="L1892" t="s">
        <v>1799</v>
      </c>
      <c r="M1892" t="s">
        <v>1799</v>
      </c>
      <c r="N1892" t="s">
        <v>1799</v>
      </c>
      <c r="O1892" s="184" t="str">
        <f>"["&amp;$C1892&amp;"]["&amp;$D1892&amp;"]["&amp;$F1892&amp;"]"</f>
        <v>[S05_InherentCarbonTransferredDetail][68][AmountCO2Transferred]</v>
      </c>
    </row>
    <row r="1893" spans="1:15" x14ac:dyDescent="0.3">
      <c r="A1893" t="s">
        <v>1793</v>
      </c>
      <c r="B1893" t="s">
        <v>2167</v>
      </c>
      <c r="C1893" t="s">
        <v>2169</v>
      </c>
      <c r="D1893">
        <v>69</v>
      </c>
      <c r="E1893" t="s">
        <v>1447</v>
      </c>
      <c r="F1893" t="s">
        <v>2256</v>
      </c>
      <c r="G1893" t="s">
        <v>1892</v>
      </c>
      <c r="H1893" t="s">
        <v>1799</v>
      </c>
      <c r="I1893" t="s">
        <v>1799</v>
      </c>
      <c r="J1893">
        <v>5791.9380000000001</v>
      </c>
      <c r="K1893" t="s">
        <v>1799</v>
      </c>
      <c r="L1893" t="s">
        <v>1799</v>
      </c>
      <c r="M1893" t="s">
        <v>1799</v>
      </c>
      <c r="N1893" t="s">
        <v>1799</v>
      </c>
      <c r="O1893" s="184" t="str">
        <f>"["&amp;$C1893&amp;"]["&amp;$D1893&amp;"]["&amp;$F1893&amp;"]"</f>
        <v>[S05_InherentCarbonTransferredDetail][69][AmountCO2Transferred]</v>
      </c>
    </row>
    <row r="1894" spans="1:15" x14ac:dyDescent="0.3">
      <c r="A1894" t="s">
        <v>1793</v>
      </c>
      <c r="B1894" t="s">
        <v>2167</v>
      </c>
      <c r="C1894" t="s">
        <v>2169</v>
      </c>
      <c r="D1894">
        <v>70</v>
      </c>
      <c r="E1894" t="s">
        <v>1447</v>
      </c>
      <c r="F1894" t="s">
        <v>2256</v>
      </c>
      <c r="G1894" t="s">
        <v>1892</v>
      </c>
      <c r="H1894" t="s">
        <v>1799</v>
      </c>
      <c r="I1894" t="s">
        <v>1799</v>
      </c>
      <c r="J1894">
        <v>44.167000000000002</v>
      </c>
      <c r="K1894" t="s">
        <v>1799</v>
      </c>
      <c r="L1894" t="s">
        <v>1799</v>
      </c>
      <c r="M1894" t="s">
        <v>1799</v>
      </c>
      <c r="N1894" t="s">
        <v>1799</v>
      </c>
      <c r="O1894" s="184" t="str">
        <f>"["&amp;$C1894&amp;"]["&amp;$D1894&amp;"]["&amp;$F1894&amp;"]"</f>
        <v>[S05_InherentCarbonTransferredDetail][70][AmountCO2Transferred]</v>
      </c>
    </row>
    <row r="1895" spans="1:15" x14ac:dyDescent="0.3">
      <c r="A1895" t="s">
        <v>1793</v>
      </c>
      <c r="B1895" t="s">
        <v>2167</v>
      </c>
      <c r="C1895" t="s">
        <v>2169</v>
      </c>
      <c r="D1895">
        <v>71</v>
      </c>
      <c r="E1895" t="s">
        <v>1447</v>
      </c>
      <c r="F1895" t="s">
        <v>2256</v>
      </c>
      <c r="G1895" t="s">
        <v>1892</v>
      </c>
      <c r="H1895" t="s">
        <v>1799</v>
      </c>
      <c r="I1895" t="s">
        <v>1799</v>
      </c>
      <c r="J1895">
        <v>342.2</v>
      </c>
      <c r="K1895" t="s">
        <v>1799</v>
      </c>
      <c r="L1895" t="s">
        <v>1799</v>
      </c>
      <c r="M1895" t="s">
        <v>1799</v>
      </c>
      <c r="N1895" t="s">
        <v>1799</v>
      </c>
      <c r="O1895" s="184" t="str">
        <f>"["&amp;$C1895&amp;"]["&amp;$D1895&amp;"]["&amp;$F1895&amp;"]"</f>
        <v>[S05_InherentCarbonTransferredDetail][71][AmountCO2Transferred]</v>
      </c>
    </row>
    <row r="1896" spans="1:15" x14ac:dyDescent="0.3">
      <c r="A1896" t="s">
        <v>1793</v>
      </c>
      <c r="B1896" t="s">
        <v>2167</v>
      </c>
      <c r="C1896" t="s">
        <v>2169</v>
      </c>
      <c r="D1896">
        <v>72</v>
      </c>
      <c r="E1896" t="s">
        <v>1447</v>
      </c>
      <c r="F1896" t="s">
        <v>2256</v>
      </c>
      <c r="G1896" t="s">
        <v>1892</v>
      </c>
      <c r="H1896" t="s">
        <v>1799</v>
      </c>
      <c r="I1896" t="s">
        <v>1799</v>
      </c>
      <c r="J1896">
        <v>1140.3910000000001</v>
      </c>
      <c r="K1896" t="s">
        <v>1799</v>
      </c>
      <c r="L1896" t="s">
        <v>1799</v>
      </c>
      <c r="M1896" t="s">
        <v>1799</v>
      </c>
      <c r="N1896" t="s">
        <v>1799</v>
      </c>
      <c r="O1896" s="184" t="str">
        <f>"["&amp;$C1896&amp;"]["&amp;$D1896&amp;"]["&amp;$F1896&amp;"]"</f>
        <v>[S05_InherentCarbonTransferredDetail][72][AmountCO2Transferred]</v>
      </c>
    </row>
    <row r="1897" spans="1:15" x14ac:dyDescent="0.3">
      <c r="A1897" t="s">
        <v>1793</v>
      </c>
      <c r="B1897" t="s">
        <v>2167</v>
      </c>
      <c r="C1897" t="s">
        <v>2169</v>
      </c>
      <c r="D1897">
        <v>73</v>
      </c>
      <c r="E1897" t="s">
        <v>1447</v>
      </c>
      <c r="F1897" t="s">
        <v>2256</v>
      </c>
      <c r="G1897" t="s">
        <v>1892</v>
      </c>
      <c r="H1897" t="s">
        <v>1799</v>
      </c>
      <c r="I1897" t="s">
        <v>1799</v>
      </c>
      <c r="J1897">
        <v>202.69300000000001</v>
      </c>
      <c r="K1897" t="s">
        <v>1799</v>
      </c>
      <c r="L1897" t="s">
        <v>1799</v>
      </c>
      <c r="M1897" t="s">
        <v>1799</v>
      </c>
      <c r="N1897" t="s">
        <v>1799</v>
      </c>
      <c r="O1897" s="184" t="str">
        <f>"["&amp;$C1897&amp;"]["&amp;$D1897&amp;"]["&amp;$F1897&amp;"]"</f>
        <v>[S05_InherentCarbonTransferredDetail][73][AmountCO2Transferred]</v>
      </c>
    </row>
    <row r="1898" spans="1:15" x14ac:dyDescent="0.3">
      <c r="A1898" t="s">
        <v>1793</v>
      </c>
      <c r="B1898" t="s">
        <v>2167</v>
      </c>
      <c r="C1898" t="s">
        <v>2169</v>
      </c>
      <c r="D1898">
        <v>74</v>
      </c>
      <c r="E1898" t="s">
        <v>1447</v>
      </c>
      <c r="F1898" t="s">
        <v>2256</v>
      </c>
      <c r="G1898" t="s">
        <v>1892</v>
      </c>
      <c r="H1898" t="s">
        <v>1799</v>
      </c>
      <c r="I1898" t="s">
        <v>1799</v>
      </c>
      <c r="J1898">
        <v>2259.0549999999998</v>
      </c>
      <c r="K1898" t="s">
        <v>1799</v>
      </c>
      <c r="L1898" t="s">
        <v>1799</v>
      </c>
      <c r="M1898" t="s">
        <v>1799</v>
      </c>
      <c r="N1898" t="s">
        <v>1799</v>
      </c>
      <c r="O1898" s="184" t="str">
        <f>"["&amp;$C1898&amp;"]["&amp;$D1898&amp;"]["&amp;$F1898&amp;"]"</f>
        <v>[S05_InherentCarbonTransferredDetail][74][AmountCO2Transferred]</v>
      </c>
    </row>
    <row r="1899" spans="1:15" x14ac:dyDescent="0.3">
      <c r="A1899" t="s">
        <v>1793</v>
      </c>
      <c r="B1899" t="s">
        <v>2167</v>
      </c>
      <c r="C1899" t="s">
        <v>2169</v>
      </c>
      <c r="D1899">
        <v>75</v>
      </c>
      <c r="E1899" t="s">
        <v>1447</v>
      </c>
      <c r="F1899" t="s">
        <v>2256</v>
      </c>
      <c r="G1899" t="s">
        <v>1892</v>
      </c>
      <c r="H1899" t="s">
        <v>1799</v>
      </c>
      <c r="I1899" t="s">
        <v>1799</v>
      </c>
      <c r="J1899">
        <v>3.4550000000000001</v>
      </c>
      <c r="K1899" t="s">
        <v>1799</v>
      </c>
      <c r="L1899" t="s">
        <v>1799</v>
      </c>
      <c r="M1899" t="s">
        <v>1799</v>
      </c>
      <c r="N1899" t="s">
        <v>1799</v>
      </c>
      <c r="O1899" s="184" t="str">
        <f>"["&amp;$C1899&amp;"]["&amp;$D1899&amp;"]["&amp;$F1899&amp;"]"</f>
        <v>[S05_InherentCarbonTransferredDetail][75][AmountCO2Transferred]</v>
      </c>
    </row>
    <row r="1900" spans="1:15" x14ac:dyDescent="0.3">
      <c r="A1900" t="s">
        <v>1793</v>
      </c>
      <c r="B1900" t="s">
        <v>2167</v>
      </c>
      <c r="C1900" t="s">
        <v>2169</v>
      </c>
      <c r="D1900">
        <v>76</v>
      </c>
      <c r="E1900" t="s">
        <v>1447</v>
      </c>
      <c r="F1900" t="s">
        <v>2256</v>
      </c>
      <c r="G1900" t="s">
        <v>1892</v>
      </c>
      <c r="H1900" t="s">
        <v>1799</v>
      </c>
      <c r="I1900" t="s">
        <v>1799</v>
      </c>
      <c r="J1900">
        <v>11639.196</v>
      </c>
      <c r="K1900" t="s">
        <v>1799</v>
      </c>
      <c r="L1900" t="s">
        <v>1799</v>
      </c>
      <c r="M1900" t="s">
        <v>1799</v>
      </c>
      <c r="N1900" t="s">
        <v>1799</v>
      </c>
      <c r="O1900" s="184" t="str">
        <f>"["&amp;$C1900&amp;"]["&amp;$D1900&amp;"]["&amp;$F1900&amp;"]"</f>
        <v>[S05_InherentCarbonTransferredDetail][76][AmountCO2Transferred]</v>
      </c>
    </row>
    <row r="1901" spans="1:15" x14ac:dyDescent="0.3">
      <c r="A1901" t="s">
        <v>1793</v>
      </c>
      <c r="B1901" t="s">
        <v>2167</v>
      </c>
      <c r="C1901" t="s">
        <v>2169</v>
      </c>
      <c r="D1901">
        <v>77</v>
      </c>
      <c r="E1901" t="s">
        <v>1447</v>
      </c>
      <c r="F1901" t="s">
        <v>2256</v>
      </c>
      <c r="G1901" t="s">
        <v>1892</v>
      </c>
      <c r="H1901" t="s">
        <v>1799</v>
      </c>
      <c r="I1901" t="s">
        <v>1799</v>
      </c>
      <c r="J1901">
        <v>8.9</v>
      </c>
      <c r="K1901" t="s">
        <v>1799</v>
      </c>
      <c r="L1901" t="s">
        <v>1799</v>
      </c>
      <c r="M1901" t="s">
        <v>1799</v>
      </c>
      <c r="N1901" t="s">
        <v>1799</v>
      </c>
      <c r="O1901" s="184" t="str">
        <f>"["&amp;$C1901&amp;"]["&amp;$D1901&amp;"]["&amp;$F1901&amp;"]"</f>
        <v>[S05_InherentCarbonTransferredDetail][77][AmountCO2Transferred]</v>
      </c>
    </row>
    <row r="1902" spans="1:15" x14ac:dyDescent="0.3">
      <c r="A1902" t="s">
        <v>1793</v>
      </c>
      <c r="B1902" t="s">
        <v>2167</v>
      </c>
      <c r="C1902" t="s">
        <v>2169</v>
      </c>
      <c r="D1902">
        <v>78</v>
      </c>
      <c r="E1902" t="s">
        <v>1447</v>
      </c>
      <c r="F1902" t="s">
        <v>2256</v>
      </c>
      <c r="G1902" t="s">
        <v>1892</v>
      </c>
      <c r="H1902" t="s">
        <v>1799</v>
      </c>
      <c r="I1902" t="s">
        <v>1799</v>
      </c>
      <c r="J1902">
        <v>1397.366</v>
      </c>
      <c r="K1902" t="s">
        <v>1799</v>
      </c>
      <c r="L1902" t="s">
        <v>1799</v>
      </c>
      <c r="M1902" t="s">
        <v>1799</v>
      </c>
      <c r="N1902" t="s">
        <v>1799</v>
      </c>
      <c r="O1902" s="184" t="str">
        <f>"["&amp;$C1902&amp;"]["&amp;$D1902&amp;"]["&amp;$F1902&amp;"]"</f>
        <v>[S05_InherentCarbonTransferredDetail][78][AmountCO2Transferred]</v>
      </c>
    </row>
    <row r="1903" spans="1:15" x14ac:dyDescent="0.3">
      <c r="A1903" t="s">
        <v>1793</v>
      </c>
      <c r="B1903" t="s">
        <v>2167</v>
      </c>
      <c r="C1903" t="s">
        <v>2169</v>
      </c>
      <c r="D1903">
        <v>79</v>
      </c>
      <c r="E1903" t="s">
        <v>1447</v>
      </c>
      <c r="F1903" t="s">
        <v>2256</v>
      </c>
      <c r="G1903" t="s">
        <v>1892</v>
      </c>
      <c r="H1903" t="s">
        <v>1799</v>
      </c>
      <c r="I1903" t="s">
        <v>1799</v>
      </c>
      <c r="J1903">
        <v>149985.35500000001</v>
      </c>
      <c r="K1903" t="s">
        <v>1799</v>
      </c>
      <c r="L1903" t="s">
        <v>1799</v>
      </c>
      <c r="M1903" t="s">
        <v>1799</v>
      </c>
      <c r="N1903" t="s">
        <v>1799</v>
      </c>
      <c r="O1903" s="184" t="str">
        <f>"["&amp;$C1903&amp;"]["&amp;$D1903&amp;"]["&amp;$F1903&amp;"]"</f>
        <v>[S05_InherentCarbonTransferredDetail][79][AmountCO2Transferred]</v>
      </c>
    </row>
    <row r="1904" spans="1:15" x14ac:dyDescent="0.3">
      <c r="A1904" t="s">
        <v>1793</v>
      </c>
      <c r="B1904" t="s">
        <v>2167</v>
      </c>
      <c r="C1904" t="s">
        <v>2169</v>
      </c>
      <c r="D1904">
        <v>80</v>
      </c>
      <c r="E1904" t="s">
        <v>1447</v>
      </c>
      <c r="F1904" t="s">
        <v>2256</v>
      </c>
      <c r="G1904" t="s">
        <v>1892</v>
      </c>
      <c r="H1904" t="s">
        <v>1799</v>
      </c>
      <c r="I1904" t="s">
        <v>1799</v>
      </c>
      <c r="J1904">
        <v>536789.25699999998</v>
      </c>
      <c r="K1904" t="s">
        <v>1799</v>
      </c>
      <c r="L1904" t="s">
        <v>1799</v>
      </c>
      <c r="M1904" t="s">
        <v>1799</v>
      </c>
      <c r="N1904" t="s">
        <v>1799</v>
      </c>
      <c r="O1904" s="184" t="str">
        <f>"["&amp;$C1904&amp;"]["&amp;$D1904&amp;"]["&amp;$F1904&amp;"]"</f>
        <v>[S05_InherentCarbonTransferredDetail][80][AmountCO2Transferred]</v>
      </c>
    </row>
    <row r="1905" spans="1:15" x14ac:dyDescent="0.3">
      <c r="A1905" t="s">
        <v>1793</v>
      </c>
      <c r="B1905" t="s">
        <v>2167</v>
      </c>
      <c r="C1905" t="s">
        <v>2169</v>
      </c>
      <c r="D1905">
        <v>81</v>
      </c>
      <c r="E1905" t="s">
        <v>1447</v>
      </c>
      <c r="F1905" t="s">
        <v>2256</v>
      </c>
      <c r="G1905" t="s">
        <v>1892</v>
      </c>
      <c r="H1905" t="s">
        <v>1799</v>
      </c>
      <c r="I1905" t="s">
        <v>1799</v>
      </c>
      <c r="J1905">
        <v>27491.666000000001</v>
      </c>
      <c r="K1905" t="s">
        <v>1799</v>
      </c>
      <c r="L1905" t="s">
        <v>1799</v>
      </c>
      <c r="M1905" t="s">
        <v>1799</v>
      </c>
      <c r="N1905" t="s">
        <v>1799</v>
      </c>
      <c r="O1905" s="184" t="str">
        <f>"["&amp;$C1905&amp;"]["&amp;$D1905&amp;"]["&amp;$F1905&amp;"]"</f>
        <v>[S05_InherentCarbonTransferredDetail][81][AmountCO2Transferred]</v>
      </c>
    </row>
    <row r="1906" spans="1:15" x14ac:dyDescent="0.3">
      <c r="A1906" t="s">
        <v>1793</v>
      </c>
      <c r="B1906" t="s">
        <v>2167</v>
      </c>
      <c r="C1906" t="s">
        <v>2169</v>
      </c>
      <c r="D1906">
        <v>82</v>
      </c>
      <c r="E1906" t="s">
        <v>1447</v>
      </c>
      <c r="F1906" t="s">
        <v>2256</v>
      </c>
      <c r="G1906" t="s">
        <v>1892</v>
      </c>
      <c r="H1906" t="s">
        <v>1799</v>
      </c>
      <c r="I1906" t="s">
        <v>1799</v>
      </c>
      <c r="J1906">
        <v>56119.322</v>
      </c>
      <c r="K1906" t="s">
        <v>1799</v>
      </c>
      <c r="L1906" t="s">
        <v>1799</v>
      </c>
      <c r="M1906" t="s">
        <v>1799</v>
      </c>
      <c r="N1906" t="s">
        <v>1799</v>
      </c>
      <c r="O1906" s="184" t="str">
        <f>"["&amp;$C1906&amp;"]["&amp;$D1906&amp;"]["&amp;$F1906&amp;"]"</f>
        <v>[S05_InherentCarbonTransferredDetail][82][AmountCO2Transferred]</v>
      </c>
    </row>
    <row r="1907" spans="1:15" x14ac:dyDescent="0.3">
      <c r="A1907" t="s">
        <v>1793</v>
      </c>
      <c r="B1907" t="s">
        <v>2167</v>
      </c>
      <c r="C1907" t="s">
        <v>2169</v>
      </c>
      <c r="D1907">
        <v>5</v>
      </c>
      <c r="E1907" t="s">
        <v>1447</v>
      </c>
      <c r="F1907" t="s">
        <v>2257</v>
      </c>
      <c r="G1907" t="s">
        <v>1892</v>
      </c>
      <c r="H1907" t="s">
        <v>1799</v>
      </c>
      <c r="I1907" t="s">
        <v>1799</v>
      </c>
      <c r="J1907">
        <v>9617.1569999999992</v>
      </c>
      <c r="K1907" t="s">
        <v>1799</v>
      </c>
      <c r="L1907" t="s">
        <v>1799</v>
      </c>
      <c r="M1907" t="s">
        <v>1799</v>
      </c>
      <c r="N1907" t="s">
        <v>1799</v>
      </c>
      <c r="O1907" s="184" t="str">
        <f>"["&amp;$C1907&amp;"]["&amp;$D1907&amp;"]["&amp;$F1907&amp;"]"</f>
        <v>[S05_InherentCarbonTransferredDetail][5][InherentCO2Received]</v>
      </c>
    </row>
    <row r="1908" spans="1:15" x14ac:dyDescent="0.3">
      <c r="A1908" t="s">
        <v>1793</v>
      </c>
      <c r="B1908" t="s">
        <v>2167</v>
      </c>
      <c r="C1908" t="s">
        <v>2169</v>
      </c>
      <c r="D1908">
        <v>6</v>
      </c>
      <c r="E1908" t="s">
        <v>1447</v>
      </c>
      <c r="F1908" t="s">
        <v>2257</v>
      </c>
      <c r="G1908" t="s">
        <v>1892</v>
      </c>
      <c r="H1908" t="s">
        <v>1799</v>
      </c>
      <c r="I1908" t="s">
        <v>1799</v>
      </c>
      <c r="J1908">
        <v>12905063.492000001</v>
      </c>
      <c r="K1908" t="s">
        <v>1799</v>
      </c>
      <c r="L1908" t="s">
        <v>1799</v>
      </c>
      <c r="M1908" t="s">
        <v>1799</v>
      </c>
      <c r="N1908" t="s">
        <v>1799</v>
      </c>
      <c r="O1908" s="184" t="str">
        <f>"["&amp;$C1908&amp;"]["&amp;$D1908&amp;"]["&amp;$F1908&amp;"]"</f>
        <v>[S05_InherentCarbonTransferredDetail][6][InherentCO2Received]</v>
      </c>
    </row>
    <row r="1909" spans="1:15" x14ac:dyDescent="0.3">
      <c r="A1909" t="s">
        <v>1793</v>
      </c>
      <c r="B1909" t="s">
        <v>2167</v>
      </c>
      <c r="C1909" t="s">
        <v>2169</v>
      </c>
      <c r="D1909">
        <v>7</v>
      </c>
      <c r="E1909" t="s">
        <v>1447</v>
      </c>
      <c r="F1909" t="s">
        <v>2257</v>
      </c>
      <c r="G1909" t="s">
        <v>1892</v>
      </c>
      <c r="H1909" t="s">
        <v>1799</v>
      </c>
      <c r="I1909" t="s">
        <v>1799</v>
      </c>
      <c r="J1909">
        <v>150.22</v>
      </c>
      <c r="K1909" t="s">
        <v>1799</v>
      </c>
      <c r="L1909" t="s">
        <v>1799</v>
      </c>
      <c r="M1909" t="s">
        <v>1799</v>
      </c>
      <c r="N1909" t="s">
        <v>1799</v>
      </c>
      <c r="O1909" s="184" t="str">
        <f>"["&amp;$C1909&amp;"]["&amp;$D1909&amp;"]["&amp;$F1909&amp;"]"</f>
        <v>[S05_InherentCarbonTransferredDetail][7][InherentCO2Received]</v>
      </c>
    </row>
    <row r="1910" spans="1:15" x14ac:dyDescent="0.3">
      <c r="A1910" t="s">
        <v>1793</v>
      </c>
      <c r="B1910" t="s">
        <v>2167</v>
      </c>
      <c r="C1910" t="s">
        <v>2169</v>
      </c>
      <c r="D1910">
        <v>8</v>
      </c>
      <c r="E1910" t="s">
        <v>1447</v>
      </c>
      <c r="F1910" t="s">
        <v>2257</v>
      </c>
      <c r="G1910" t="s">
        <v>1892</v>
      </c>
      <c r="H1910" t="s">
        <v>1799</v>
      </c>
      <c r="I1910" t="s">
        <v>1799</v>
      </c>
      <c r="J1910">
        <v>28502.758000000002</v>
      </c>
      <c r="K1910" t="s">
        <v>1799</v>
      </c>
      <c r="L1910" t="s">
        <v>1799</v>
      </c>
      <c r="M1910" t="s">
        <v>1799</v>
      </c>
      <c r="N1910" t="s">
        <v>1799</v>
      </c>
      <c r="O1910" s="184" t="str">
        <f>"["&amp;$C1910&amp;"]["&amp;$D1910&amp;"]["&amp;$F1910&amp;"]"</f>
        <v>[S05_InherentCarbonTransferredDetail][8][InherentCO2Received]</v>
      </c>
    </row>
    <row r="1911" spans="1:15" x14ac:dyDescent="0.3">
      <c r="A1911" t="s">
        <v>1793</v>
      </c>
      <c r="B1911" t="s">
        <v>2167</v>
      </c>
      <c r="C1911" t="s">
        <v>2169</v>
      </c>
      <c r="D1911">
        <v>9</v>
      </c>
      <c r="E1911" t="s">
        <v>1447</v>
      </c>
      <c r="F1911" t="s">
        <v>2257</v>
      </c>
      <c r="G1911" t="s">
        <v>1892</v>
      </c>
      <c r="H1911" t="s">
        <v>1799</v>
      </c>
      <c r="I1911" t="s">
        <v>1799</v>
      </c>
      <c r="J1911">
        <v>184562.02499999999</v>
      </c>
      <c r="K1911" t="s">
        <v>1799</v>
      </c>
      <c r="L1911" t="s">
        <v>1799</v>
      </c>
      <c r="M1911" t="s">
        <v>1799</v>
      </c>
      <c r="N1911" t="s">
        <v>1799</v>
      </c>
      <c r="O1911" s="184" t="str">
        <f>"["&amp;$C1911&amp;"]["&amp;$D1911&amp;"]["&amp;$F1911&amp;"]"</f>
        <v>[S05_InherentCarbonTransferredDetail][9][InherentCO2Received]</v>
      </c>
    </row>
    <row r="1912" spans="1:15" x14ac:dyDescent="0.3">
      <c r="A1912" t="s">
        <v>1793</v>
      </c>
      <c r="B1912" t="s">
        <v>2167</v>
      </c>
      <c r="C1912" t="s">
        <v>2169</v>
      </c>
      <c r="D1912">
        <v>10</v>
      </c>
      <c r="E1912" t="s">
        <v>1447</v>
      </c>
      <c r="F1912" t="s">
        <v>2257</v>
      </c>
      <c r="G1912" t="s">
        <v>1892</v>
      </c>
      <c r="H1912" t="s">
        <v>1799</v>
      </c>
      <c r="I1912" t="s">
        <v>1799</v>
      </c>
      <c r="J1912">
        <v>26298.782999999999</v>
      </c>
      <c r="K1912" t="s">
        <v>1799</v>
      </c>
      <c r="L1912" t="s">
        <v>1799</v>
      </c>
      <c r="M1912" t="s">
        <v>1799</v>
      </c>
      <c r="N1912" t="s">
        <v>1799</v>
      </c>
      <c r="O1912" s="184" t="str">
        <f>"["&amp;$C1912&amp;"]["&amp;$D1912&amp;"]["&amp;$F1912&amp;"]"</f>
        <v>[S05_InherentCarbonTransferredDetail][10][InherentCO2Received]</v>
      </c>
    </row>
    <row r="1913" spans="1:15" x14ac:dyDescent="0.3">
      <c r="A1913" t="s">
        <v>1793</v>
      </c>
      <c r="B1913" t="s">
        <v>2167</v>
      </c>
      <c r="C1913" t="s">
        <v>2169</v>
      </c>
      <c r="D1913">
        <v>11</v>
      </c>
      <c r="E1913" t="s">
        <v>1447</v>
      </c>
      <c r="F1913" t="s">
        <v>2257</v>
      </c>
      <c r="G1913" t="s">
        <v>1892</v>
      </c>
      <c r="H1913" t="s">
        <v>1799</v>
      </c>
      <c r="I1913" t="s">
        <v>1799</v>
      </c>
      <c r="J1913">
        <v>142638.29999999999</v>
      </c>
      <c r="K1913" t="s">
        <v>1799</v>
      </c>
      <c r="L1913" t="s">
        <v>1799</v>
      </c>
      <c r="M1913" t="s">
        <v>1799</v>
      </c>
      <c r="N1913" t="s">
        <v>1799</v>
      </c>
      <c r="O1913" s="184" t="str">
        <f>"["&amp;$C1913&amp;"]["&amp;$D1913&amp;"]["&amp;$F1913&amp;"]"</f>
        <v>[S05_InherentCarbonTransferredDetail][11][InherentCO2Received]</v>
      </c>
    </row>
    <row r="1914" spans="1:15" x14ac:dyDescent="0.3">
      <c r="A1914" t="s">
        <v>1793</v>
      </c>
      <c r="B1914" t="s">
        <v>2167</v>
      </c>
      <c r="C1914" t="s">
        <v>2169</v>
      </c>
      <c r="D1914">
        <v>12</v>
      </c>
      <c r="E1914" t="s">
        <v>1447</v>
      </c>
      <c r="F1914" t="s">
        <v>2257</v>
      </c>
      <c r="G1914" t="s">
        <v>1892</v>
      </c>
      <c r="H1914" t="s">
        <v>1799</v>
      </c>
      <c r="I1914" t="s">
        <v>1799</v>
      </c>
      <c r="J1914">
        <v>3560544.9</v>
      </c>
      <c r="K1914" t="s">
        <v>1799</v>
      </c>
      <c r="L1914" t="s">
        <v>1799</v>
      </c>
      <c r="M1914" t="s">
        <v>1799</v>
      </c>
      <c r="N1914" t="s">
        <v>1799</v>
      </c>
      <c r="O1914" s="184" t="str">
        <f>"["&amp;$C1914&amp;"]["&amp;$D1914&amp;"]["&amp;$F1914&amp;"]"</f>
        <v>[S05_InherentCarbonTransferredDetail][12][InherentCO2Received]</v>
      </c>
    </row>
    <row r="1915" spans="1:15" x14ac:dyDescent="0.3">
      <c r="A1915" t="s">
        <v>1793</v>
      </c>
      <c r="B1915" t="s">
        <v>2167</v>
      </c>
      <c r="C1915" t="s">
        <v>2169</v>
      </c>
      <c r="D1915">
        <v>13</v>
      </c>
      <c r="E1915" t="s">
        <v>1447</v>
      </c>
      <c r="F1915" t="s">
        <v>2257</v>
      </c>
      <c r="G1915" t="s">
        <v>1892</v>
      </c>
      <c r="H1915" t="s">
        <v>1799</v>
      </c>
      <c r="I1915" t="s">
        <v>1799</v>
      </c>
      <c r="J1915">
        <v>35017</v>
      </c>
      <c r="K1915" t="s">
        <v>1799</v>
      </c>
      <c r="L1915" t="s">
        <v>1799</v>
      </c>
      <c r="M1915" t="s">
        <v>1799</v>
      </c>
      <c r="N1915" t="s">
        <v>1799</v>
      </c>
      <c r="O1915" s="184" t="str">
        <f>"["&amp;$C1915&amp;"]["&amp;$D1915&amp;"]["&amp;$F1915&amp;"]"</f>
        <v>[S05_InherentCarbonTransferredDetail][13][InherentCO2Received]</v>
      </c>
    </row>
    <row r="1916" spans="1:15" x14ac:dyDescent="0.3">
      <c r="A1916" t="s">
        <v>1793</v>
      </c>
      <c r="B1916" t="s">
        <v>2167</v>
      </c>
      <c r="C1916" t="s">
        <v>2169</v>
      </c>
      <c r="D1916">
        <v>14</v>
      </c>
      <c r="E1916" t="s">
        <v>1447</v>
      </c>
      <c r="F1916" t="s">
        <v>2257</v>
      </c>
      <c r="G1916" t="s">
        <v>1892</v>
      </c>
      <c r="H1916" t="s">
        <v>1799</v>
      </c>
      <c r="I1916" t="s">
        <v>1799</v>
      </c>
      <c r="J1916">
        <v>63407</v>
      </c>
      <c r="K1916" t="s">
        <v>1799</v>
      </c>
      <c r="L1916" t="s">
        <v>1799</v>
      </c>
      <c r="M1916" t="s">
        <v>1799</v>
      </c>
      <c r="N1916" t="s">
        <v>1799</v>
      </c>
      <c r="O1916" s="184" t="str">
        <f>"["&amp;$C1916&amp;"]["&amp;$D1916&amp;"]["&amp;$F1916&amp;"]"</f>
        <v>[S05_InherentCarbonTransferredDetail][14][InherentCO2Received]</v>
      </c>
    </row>
    <row r="1917" spans="1:15" x14ac:dyDescent="0.3">
      <c r="A1917" t="s">
        <v>1793</v>
      </c>
      <c r="B1917" t="s">
        <v>2167</v>
      </c>
      <c r="C1917" t="s">
        <v>2169</v>
      </c>
      <c r="D1917">
        <v>15</v>
      </c>
      <c r="E1917" t="s">
        <v>1447</v>
      </c>
      <c r="F1917" t="s">
        <v>2257</v>
      </c>
      <c r="G1917" t="s">
        <v>1892</v>
      </c>
      <c r="H1917" t="s">
        <v>1799</v>
      </c>
      <c r="I1917" t="s">
        <v>1799</v>
      </c>
      <c r="J1917">
        <v>26928.284</v>
      </c>
      <c r="K1917" t="s">
        <v>1799</v>
      </c>
      <c r="L1917" t="s">
        <v>1799</v>
      </c>
      <c r="M1917" t="s">
        <v>1799</v>
      </c>
      <c r="N1917" t="s">
        <v>1799</v>
      </c>
      <c r="O1917" s="184" t="str">
        <f>"["&amp;$C1917&amp;"]["&amp;$D1917&amp;"]["&amp;$F1917&amp;"]"</f>
        <v>[S05_InherentCarbonTransferredDetail][15][InherentCO2Received]</v>
      </c>
    </row>
    <row r="1918" spans="1:15" x14ac:dyDescent="0.3">
      <c r="A1918" t="s">
        <v>1793</v>
      </c>
      <c r="B1918" t="s">
        <v>2167</v>
      </c>
      <c r="C1918" t="s">
        <v>2169</v>
      </c>
      <c r="D1918">
        <v>16</v>
      </c>
      <c r="E1918" t="s">
        <v>1447</v>
      </c>
      <c r="F1918" t="s">
        <v>2257</v>
      </c>
      <c r="G1918" t="s">
        <v>1892</v>
      </c>
      <c r="H1918" t="s">
        <v>1799</v>
      </c>
      <c r="I1918" t="s">
        <v>1799</v>
      </c>
      <c r="J1918">
        <v>30826.698</v>
      </c>
      <c r="K1918" t="s">
        <v>1799</v>
      </c>
      <c r="L1918" t="s">
        <v>1799</v>
      </c>
      <c r="M1918" t="s">
        <v>1799</v>
      </c>
      <c r="N1918" t="s">
        <v>1799</v>
      </c>
      <c r="O1918" s="184" t="str">
        <f>"["&amp;$C1918&amp;"]["&amp;$D1918&amp;"]["&amp;$F1918&amp;"]"</f>
        <v>[S05_InherentCarbonTransferredDetail][16][InherentCO2Received]</v>
      </c>
    </row>
    <row r="1919" spans="1:15" x14ac:dyDescent="0.3">
      <c r="A1919" t="s">
        <v>1793</v>
      </c>
      <c r="B1919" t="s">
        <v>2167</v>
      </c>
      <c r="C1919" t="s">
        <v>2169</v>
      </c>
      <c r="D1919">
        <v>17</v>
      </c>
      <c r="E1919" t="s">
        <v>1447</v>
      </c>
      <c r="F1919" t="s">
        <v>2257</v>
      </c>
      <c r="G1919" t="s">
        <v>1892</v>
      </c>
      <c r="H1919" t="s">
        <v>1799</v>
      </c>
      <c r="I1919" t="s">
        <v>1799</v>
      </c>
      <c r="J1919">
        <v>126607.20699999999</v>
      </c>
      <c r="K1919" t="s">
        <v>1799</v>
      </c>
      <c r="L1919" t="s">
        <v>1799</v>
      </c>
      <c r="M1919" t="s">
        <v>1799</v>
      </c>
      <c r="N1919" t="s">
        <v>1799</v>
      </c>
      <c r="O1919" s="184" t="str">
        <f>"["&amp;$C1919&amp;"]["&amp;$D1919&amp;"]["&amp;$F1919&amp;"]"</f>
        <v>[S05_InherentCarbonTransferredDetail][17][InherentCO2Received]</v>
      </c>
    </row>
    <row r="1920" spans="1:15" x14ac:dyDescent="0.3">
      <c r="A1920" t="s">
        <v>1793</v>
      </c>
      <c r="B1920" t="s">
        <v>2167</v>
      </c>
      <c r="C1920" t="s">
        <v>2169</v>
      </c>
      <c r="D1920">
        <v>18</v>
      </c>
      <c r="E1920" t="s">
        <v>1447</v>
      </c>
      <c r="F1920" t="s">
        <v>2257</v>
      </c>
      <c r="G1920" t="s">
        <v>1892</v>
      </c>
      <c r="H1920" t="s">
        <v>1799</v>
      </c>
      <c r="I1920" t="s">
        <v>1799</v>
      </c>
      <c r="J1920">
        <v>8072.5969999999998</v>
      </c>
      <c r="K1920" t="s">
        <v>1799</v>
      </c>
      <c r="L1920" t="s">
        <v>1799</v>
      </c>
      <c r="M1920" t="s">
        <v>1799</v>
      </c>
      <c r="N1920" t="s">
        <v>1799</v>
      </c>
      <c r="O1920" s="184" t="str">
        <f>"["&amp;$C1920&amp;"]["&amp;$D1920&amp;"]["&amp;$F1920&amp;"]"</f>
        <v>[S05_InherentCarbonTransferredDetail][18][InherentCO2Received]</v>
      </c>
    </row>
    <row r="1921" spans="1:15" x14ac:dyDescent="0.3">
      <c r="A1921" t="s">
        <v>1793</v>
      </c>
      <c r="B1921" t="s">
        <v>2167</v>
      </c>
      <c r="C1921" t="s">
        <v>2169</v>
      </c>
      <c r="D1921">
        <v>19</v>
      </c>
      <c r="E1921" t="s">
        <v>1447</v>
      </c>
      <c r="F1921" t="s">
        <v>2257</v>
      </c>
      <c r="G1921" t="s">
        <v>1892</v>
      </c>
      <c r="H1921" t="s">
        <v>1799</v>
      </c>
      <c r="I1921" t="s">
        <v>1799</v>
      </c>
      <c r="J1921">
        <v>25122.473000000002</v>
      </c>
      <c r="K1921" t="s">
        <v>1799</v>
      </c>
      <c r="L1921" t="s">
        <v>1799</v>
      </c>
      <c r="M1921" t="s">
        <v>1799</v>
      </c>
      <c r="N1921" t="s">
        <v>1799</v>
      </c>
      <c r="O1921" s="184" t="str">
        <f>"["&amp;$C1921&amp;"]["&amp;$D1921&amp;"]["&amp;$F1921&amp;"]"</f>
        <v>[S05_InherentCarbonTransferredDetail][19][InherentCO2Received]</v>
      </c>
    </row>
    <row r="1922" spans="1:15" x14ac:dyDescent="0.3">
      <c r="A1922" t="s">
        <v>1793</v>
      </c>
      <c r="B1922" t="s">
        <v>2167</v>
      </c>
      <c r="C1922" t="s">
        <v>2169</v>
      </c>
      <c r="D1922">
        <v>20</v>
      </c>
      <c r="E1922" t="s">
        <v>1447</v>
      </c>
      <c r="F1922" t="s">
        <v>2257</v>
      </c>
      <c r="G1922" t="s">
        <v>1892</v>
      </c>
      <c r="H1922" t="s">
        <v>1799</v>
      </c>
      <c r="I1922" t="s">
        <v>1799</v>
      </c>
      <c r="J1922">
        <v>1310.0609999999999</v>
      </c>
      <c r="K1922" t="s">
        <v>1799</v>
      </c>
      <c r="L1922" t="s">
        <v>1799</v>
      </c>
      <c r="M1922" t="s">
        <v>1799</v>
      </c>
      <c r="N1922" t="s">
        <v>1799</v>
      </c>
      <c r="O1922" s="184" t="str">
        <f>"["&amp;$C1922&amp;"]["&amp;$D1922&amp;"]["&amp;$F1922&amp;"]"</f>
        <v>[S05_InherentCarbonTransferredDetail][20][InherentCO2Received]</v>
      </c>
    </row>
    <row r="1923" spans="1:15" x14ac:dyDescent="0.3">
      <c r="A1923" t="s">
        <v>1793</v>
      </c>
      <c r="B1923" t="s">
        <v>2167</v>
      </c>
      <c r="C1923" t="s">
        <v>2169</v>
      </c>
      <c r="D1923">
        <v>21</v>
      </c>
      <c r="E1923" t="s">
        <v>1447</v>
      </c>
      <c r="F1923" t="s">
        <v>2257</v>
      </c>
      <c r="G1923" t="s">
        <v>1892</v>
      </c>
      <c r="H1923" t="s">
        <v>1799</v>
      </c>
      <c r="I1923" t="s">
        <v>1799</v>
      </c>
      <c r="J1923">
        <v>111376.58500000001</v>
      </c>
      <c r="K1923" t="s">
        <v>1799</v>
      </c>
      <c r="L1923" t="s">
        <v>1799</v>
      </c>
      <c r="M1923" t="s">
        <v>1799</v>
      </c>
      <c r="N1923" t="s">
        <v>1799</v>
      </c>
      <c r="O1923" s="184" t="str">
        <f>"["&amp;$C1923&amp;"]["&amp;$D1923&amp;"]["&amp;$F1923&amp;"]"</f>
        <v>[S05_InherentCarbonTransferredDetail][21][InherentCO2Received]</v>
      </c>
    </row>
    <row r="1924" spans="1:15" x14ac:dyDescent="0.3">
      <c r="A1924" t="s">
        <v>1793</v>
      </c>
      <c r="B1924" t="s">
        <v>2167</v>
      </c>
      <c r="C1924" t="s">
        <v>2169</v>
      </c>
      <c r="D1924">
        <v>22</v>
      </c>
      <c r="E1924" t="s">
        <v>1447</v>
      </c>
      <c r="F1924" t="s">
        <v>2257</v>
      </c>
      <c r="G1924" t="s">
        <v>1892</v>
      </c>
      <c r="H1924" t="s">
        <v>1799</v>
      </c>
      <c r="I1924" t="s">
        <v>1799</v>
      </c>
      <c r="J1924">
        <v>924.45899999999995</v>
      </c>
      <c r="K1924" t="s">
        <v>1799</v>
      </c>
      <c r="L1924" t="s">
        <v>1799</v>
      </c>
      <c r="M1924" t="s">
        <v>1799</v>
      </c>
      <c r="N1924" t="s">
        <v>1799</v>
      </c>
      <c r="O1924" s="184" t="str">
        <f>"["&amp;$C1924&amp;"]["&amp;$D1924&amp;"]["&amp;$F1924&amp;"]"</f>
        <v>[S05_InherentCarbonTransferredDetail][22][InherentCO2Received]</v>
      </c>
    </row>
    <row r="1925" spans="1:15" x14ac:dyDescent="0.3">
      <c r="A1925" t="s">
        <v>1793</v>
      </c>
      <c r="B1925" t="s">
        <v>2167</v>
      </c>
      <c r="C1925" t="s">
        <v>2169</v>
      </c>
      <c r="D1925">
        <v>23</v>
      </c>
      <c r="E1925" t="s">
        <v>1447</v>
      </c>
      <c r="F1925" t="s">
        <v>2257</v>
      </c>
      <c r="G1925" t="s">
        <v>1892</v>
      </c>
      <c r="H1925" t="s">
        <v>1799</v>
      </c>
      <c r="I1925" t="s">
        <v>1799</v>
      </c>
      <c r="J1925">
        <v>10074.949000000001</v>
      </c>
      <c r="K1925" t="s">
        <v>1799</v>
      </c>
      <c r="L1925" t="s">
        <v>1799</v>
      </c>
      <c r="M1925" t="s">
        <v>1799</v>
      </c>
      <c r="N1925" t="s">
        <v>1799</v>
      </c>
      <c r="O1925" s="184" t="str">
        <f>"["&amp;$C1925&amp;"]["&amp;$D1925&amp;"]["&amp;$F1925&amp;"]"</f>
        <v>[S05_InherentCarbonTransferredDetail][23][InherentCO2Received]</v>
      </c>
    </row>
    <row r="1926" spans="1:15" x14ac:dyDescent="0.3">
      <c r="A1926" t="s">
        <v>1793</v>
      </c>
      <c r="B1926" t="s">
        <v>2167</v>
      </c>
      <c r="C1926" t="s">
        <v>2169</v>
      </c>
      <c r="D1926">
        <v>24</v>
      </c>
      <c r="E1926" t="s">
        <v>1447</v>
      </c>
      <c r="F1926" t="s">
        <v>2257</v>
      </c>
      <c r="G1926" t="s">
        <v>1892</v>
      </c>
      <c r="H1926" t="s">
        <v>1799</v>
      </c>
      <c r="I1926" t="s">
        <v>1799</v>
      </c>
      <c r="J1926">
        <v>31485.342000000001</v>
      </c>
      <c r="K1926" t="s">
        <v>1799</v>
      </c>
      <c r="L1926" t="s">
        <v>1799</v>
      </c>
      <c r="M1926" t="s">
        <v>1799</v>
      </c>
      <c r="N1926" t="s">
        <v>1799</v>
      </c>
      <c r="O1926" s="184" t="str">
        <f>"["&amp;$C1926&amp;"]["&amp;$D1926&amp;"]["&amp;$F1926&amp;"]"</f>
        <v>[S05_InherentCarbonTransferredDetail][24][InherentCO2Received]</v>
      </c>
    </row>
    <row r="1927" spans="1:15" x14ac:dyDescent="0.3">
      <c r="A1927" t="s">
        <v>1793</v>
      </c>
      <c r="B1927" t="s">
        <v>2167</v>
      </c>
      <c r="C1927" t="s">
        <v>2169</v>
      </c>
      <c r="D1927">
        <v>25</v>
      </c>
      <c r="E1927" t="s">
        <v>1447</v>
      </c>
      <c r="F1927" t="s">
        <v>2257</v>
      </c>
      <c r="G1927" t="s">
        <v>1892</v>
      </c>
      <c r="H1927" t="s">
        <v>1799</v>
      </c>
      <c r="I1927" t="s">
        <v>1799</v>
      </c>
      <c r="J1927">
        <v>8745.5849999999991</v>
      </c>
      <c r="K1927" t="s">
        <v>1799</v>
      </c>
      <c r="L1927" t="s">
        <v>1799</v>
      </c>
      <c r="M1927" t="s">
        <v>1799</v>
      </c>
      <c r="N1927" t="s">
        <v>1799</v>
      </c>
      <c r="O1927" s="184" t="str">
        <f>"["&amp;$C1927&amp;"]["&amp;$D1927&amp;"]["&amp;$F1927&amp;"]"</f>
        <v>[S05_InherentCarbonTransferredDetail][25][InherentCO2Received]</v>
      </c>
    </row>
    <row r="1928" spans="1:15" x14ac:dyDescent="0.3">
      <c r="A1928" t="s">
        <v>1793</v>
      </c>
      <c r="B1928" t="s">
        <v>2167</v>
      </c>
      <c r="C1928" t="s">
        <v>2169</v>
      </c>
      <c r="D1928">
        <v>26</v>
      </c>
      <c r="E1928" t="s">
        <v>1447</v>
      </c>
      <c r="F1928" t="s">
        <v>2257</v>
      </c>
      <c r="G1928" t="s">
        <v>1892</v>
      </c>
      <c r="H1928" t="s">
        <v>1799</v>
      </c>
      <c r="I1928" t="s">
        <v>1799</v>
      </c>
      <c r="J1928">
        <v>59.23</v>
      </c>
      <c r="K1928" t="s">
        <v>1799</v>
      </c>
      <c r="L1928" t="s">
        <v>1799</v>
      </c>
      <c r="M1928" t="s">
        <v>1799</v>
      </c>
      <c r="N1928" t="s">
        <v>1799</v>
      </c>
      <c r="O1928" s="184" t="str">
        <f>"["&amp;$C1928&amp;"]["&amp;$D1928&amp;"]["&amp;$F1928&amp;"]"</f>
        <v>[S05_InherentCarbonTransferredDetail][26][InherentCO2Received]</v>
      </c>
    </row>
    <row r="1929" spans="1:15" x14ac:dyDescent="0.3">
      <c r="A1929" t="s">
        <v>1793</v>
      </c>
      <c r="B1929" t="s">
        <v>2167</v>
      </c>
      <c r="C1929" t="s">
        <v>2169</v>
      </c>
      <c r="D1929">
        <v>27</v>
      </c>
      <c r="E1929" t="s">
        <v>1447</v>
      </c>
      <c r="F1929" t="s">
        <v>2257</v>
      </c>
      <c r="G1929" t="s">
        <v>1892</v>
      </c>
      <c r="H1929" t="s">
        <v>1799</v>
      </c>
      <c r="I1929" t="s">
        <v>1799</v>
      </c>
      <c r="J1929">
        <v>1416.3889999999999</v>
      </c>
      <c r="K1929" t="s">
        <v>1799</v>
      </c>
      <c r="L1929" t="s">
        <v>1799</v>
      </c>
      <c r="M1929" t="s">
        <v>1799</v>
      </c>
      <c r="N1929" t="s">
        <v>1799</v>
      </c>
      <c r="O1929" s="184" t="str">
        <f>"["&amp;$C1929&amp;"]["&amp;$D1929&amp;"]["&amp;$F1929&amp;"]"</f>
        <v>[S05_InherentCarbonTransferredDetail][27][InherentCO2Received]</v>
      </c>
    </row>
    <row r="1930" spans="1:15" x14ac:dyDescent="0.3">
      <c r="A1930" t="s">
        <v>1793</v>
      </c>
      <c r="B1930" t="s">
        <v>2167</v>
      </c>
      <c r="C1930" t="s">
        <v>2169</v>
      </c>
      <c r="D1930">
        <v>28</v>
      </c>
      <c r="E1930" t="s">
        <v>1447</v>
      </c>
      <c r="F1930" t="s">
        <v>2257</v>
      </c>
      <c r="G1930" t="s">
        <v>1892</v>
      </c>
      <c r="H1930" t="s">
        <v>1799</v>
      </c>
      <c r="I1930" t="s">
        <v>1799</v>
      </c>
      <c r="J1930">
        <v>201.41800000000001</v>
      </c>
      <c r="K1930" t="s">
        <v>1799</v>
      </c>
      <c r="L1930" t="s">
        <v>1799</v>
      </c>
      <c r="M1930" t="s">
        <v>1799</v>
      </c>
      <c r="N1930" t="s">
        <v>1799</v>
      </c>
      <c r="O1930" s="184" t="str">
        <f>"["&amp;$C1930&amp;"]["&amp;$D1930&amp;"]["&amp;$F1930&amp;"]"</f>
        <v>[S05_InherentCarbonTransferredDetail][28][InherentCO2Received]</v>
      </c>
    </row>
    <row r="1931" spans="1:15" x14ac:dyDescent="0.3">
      <c r="A1931" t="s">
        <v>1793</v>
      </c>
      <c r="B1931" t="s">
        <v>2167</v>
      </c>
      <c r="C1931" t="s">
        <v>2169</v>
      </c>
      <c r="D1931">
        <v>29</v>
      </c>
      <c r="E1931" t="s">
        <v>1447</v>
      </c>
      <c r="F1931" t="s">
        <v>2257</v>
      </c>
      <c r="G1931" t="s">
        <v>1892</v>
      </c>
      <c r="H1931" t="s">
        <v>1799</v>
      </c>
      <c r="I1931" t="s">
        <v>1799</v>
      </c>
      <c r="J1931">
        <v>395.517</v>
      </c>
      <c r="K1931" t="s">
        <v>1799</v>
      </c>
      <c r="L1931" t="s">
        <v>1799</v>
      </c>
      <c r="M1931" t="s">
        <v>1799</v>
      </c>
      <c r="N1931" t="s">
        <v>1799</v>
      </c>
      <c r="O1931" s="184" t="str">
        <f>"["&amp;$C1931&amp;"]["&amp;$D1931&amp;"]["&amp;$F1931&amp;"]"</f>
        <v>[S05_InherentCarbonTransferredDetail][29][InherentCO2Received]</v>
      </c>
    </row>
    <row r="1932" spans="1:15" x14ac:dyDescent="0.3">
      <c r="A1932" t="s">
        <v>1793</v>
      </c>
      <c r="B1932" t="s">
        <v>2167</v>
      </c>
      <c r="C1932" t="s">
        <v>2169</v>
      </c>
      <c r="D1932">
        <v>30</v>
      </c>
      <c r="E1932" t="s">
        <v>1447</v>
      </c>
      <c r="F1932" t="s">
        <v>2257</v>
      </c>
      <c r="G1932" t="s">
        <v>1892</v>
      </c>
      <c r="H1932" t="s">
        <v>1799</v>
      </c>
      <c r="I1932" t="s">
        <v>1799</v>
      </c>
      <c r="J1932">
        <v>9847.6049999999996</v>
      </c>
      <c r="K1932" t="s">
        <v>1799</v>
      </c>
      <c r="L1932" t="s">
        <v>1799</v>
      </c>
      <c r="M1932" t="s">
        <v>1799</v>
      </c>
      <c r="N1932" t="s">
        <v>1799</v>
      </c>
      <c r="O1932" s="184" t="str">
        <f>"["&amp;$C1932&amp;"]["&amp;$D1932&amp;"]["&amp;$F1932&amp;"]"</f>
        <v>[S05_InherentCarbonTransferredDetail][30][InherentCO2Received]</v>
      </c>
    </row>
    <row r="1933" spans="1:15" x14ac:dyDescent="0.3">
      <c r="A1933" t="s">
        <v>1793</v>
      </c>
      <c r="B1933" t="s">
        <v>2167</v>
      </c>
      <c r="C1933" t="s">
        <v>2169</v>
      </c>
      <c r="D1933">
        <v>31</v>
      </c>
      <c r="E1933" t="s">
        <v>1447</v>
      </c>
      <c r="F1933" t="s">
        <v>2257</v>
      </c>
      <c r="G1933" t="s">
        <v>1892</v>
      </c>
      <c r="H1933" t="s">
        <v>1799</v>
      </c>
      <c r="I1933" t="s">
        <v>1799</v>
      </c>
      <c r="J1933">
        <v>8103.9669999999996</v>
      </c>
      <c r="K1933" t="s">
        <v>1799</v>
      </c>
      <c r="L1933" t="s">
        <v>1799</v>
      </c>
      <c r="M1933" t="s">
        <v>1799</v>
      </c>
      <c r="N1933" t="s">
        <v>1799</v>
      </c>
      <c r="O1933" s="184" t="str">
        <f>"["&amp;$C1933&amp;"]["&amp;$D1933&amp;"]["&amp;$F1933&amp;"]"</f>
        <v>[S05_InherentCarbonTransferredDetail][31][InherentCO2Received]</v>
      </c>
    </row>
    <row r="1934" spans="1:15" x14ac:dyDescent="0.3">
      <c r="A1934" t="s">
        <v>1793</v>
      </c>
      <c r="B1934" t="s">
        <v>2167</v>
      </c>
      <c r="C1934" t="s">
        <v>2169</v>
      </c>
      <c r="D1934">
        <v>32</v>
      </c>
      <c r="E1934" t="s">
        <v>1447</v>
      </c>
      <c r="F1934" t="s">
        <v>2257</v>
      </c>
      <c r="G1934" t="s">
        <v>1892</v>
      </c>
      <c r="H1934" t="s">
        <v>1799</v>
      </c>
      <c r="I1934" t="s">
        <v>1799</v>
      </c>
      <c r="J1934">
        <v>332.91</v>
      </c>
      <c r="K1934" t="s">
        <v>1799</v>
      </c>
      <c r="L1934" t="s">
        <v>1799</v>
      </c>
      <c r="M1934" t="s">
        <v>1799</v>
      </c>
      <c r="N1934" t="s">
        <v>1799</v>
      </c>
      <c r="O1934" s="184" t="str">
        <f>"["&amp;$C1934&amp;"]["&amp;$D1934&amp;"]["&amp;$F1934&amp;"]"</f>
        <v>[S05_InherentCarbonTransferredDetail][32][InherentCO2Received]</v>
      </c>
    </row>
    <row r="1935" spans="1:15" x14ac:dyDescent="0.3">
      <c r="A1935" t="s">
        <v>1793</v>
      </c>
      <c r="B1935" t="s">
        <v>2167</v>
      </c>
      <c r="C1935" t="s">
        <v>2169</v>
      </c>
      <c r="D1935">
        <v>33</v>
      </c>
      <c r="E1935" t="s">
        <v>1447</v>
      </c>
      <c r="F1935" t="s">
        <v>2257</v>
      </c>
      <c r="G1935" t="s">
        <v>1892</v>
      </c>
      <c r="H1935" t="s">
        <v>1799</v>
      </c>
      <c r="I1935" t="s">
        <v>1799</v>
      </c>
      <c r="J1935">
        <v>46187.37</v>
      </c>
      <c r="K1935" t="s">
        <v>1799</v>
      </c>
      <c r="L1935" t="s">
        <v>1799</v>
      </c>
      <c r="M1935" t="s">
        <v>1799</v>
      </c>
      <c r="N1935" t="s">
        <v>1799</v>
      </c>
      <c r="O1935" s="184" t="str">
        <f>"["&amp;$C1935&amp;"]["&amp;$D1935&amp;"]["&amp;$F1935&amp;"]"</f>
        <v>[S05_InherentCarbonTransferredDetail][33][InherentCO2Received]</v>
      </c>
    </row>
    <row r="1936" spans="1:15" x14ac:dyDescent="0.3">
      <c r="A1936" t="s">
        <v>1793</v>
      </c>
      <c r="B1936" t="s">
        <v>2167</v>
      </c>
      <c r="C1936" t="s">
        <v>2169</v>
      </c>
      <c r="D1936">
        <v>34</v>
      </c>
      <c r="E1936" t="s">
        <v>1447</v>
      </c>
      <c r="F1936" t="s">
        <v>2257</v>
      </c>
      <c r="G1936" t="s">
        <v>1892</v>
      </c>
      <c r="H1936" t="s">
        <v>1799</v>
      </c>
      <c r="I1936" t="s">
        <v>1799</v>
      </c>
      <c r="J1936">
        <v>972248.68900000001</v>
      </c>
      <c r="K1936" t="s">
        <v>1799</v>
      </c>
      <c r="L1936" t="s">
        <v>1799</v>
      </c>
      <c r="M1936" t="s">
        <v>1799</v>
      </c>
      <c r="N1936" t="s">
        <v>1799</v>
      </c>
      <c r="O1936" s="184" t="str">
        <f>"["&amp;$C1936&amp;"]["&amp;$D1936&amp;"]["&amp;$F1936&amp;"]"</f>
        <v>[S05_InherentCarbonTransferredDetail][34][InherentCO2Received]</v>
      </c>
    </row>
    <row r="1937" spans="1:15" x14ac:dyDescent="0.3">
      <c r="A1937" t="s">
        <v>1793</v>
      </c>
      <c r="B1937" t="s">
        <v>2167</v>
      </c>
      <c r="C1937" t="s">
        <v>2169</v>
      </c>
      <c r="D1937">
        <v>35</v>
      </c>
      <c r="E1937" t="s">
        <v>1447</v>
      </c>
      <c r="F1937" t="s">
        <v>2257</v>
      </c>
      <c r="G1937" t="s">
        <v>1892</v>
      </c>
      <c r="H1937" t="s">
        <v>1799</v>
      </c>
      <c r="I1937" t="s">
        <v>1799</v>
      </c>
      <c r="J1937">
        <v>19407.382000000001</v>
      </c>
      <c r="K1937" t="s">
        <v>1799</v>
      </c>
      <c r="L1937" t="s">
        <v>1799</v>
      </c>
      <c r="M1937" t="s">
        <v>1799</v>
      </c>
      <c r="N1937" t="s">
        <v>1799</v>
      </c>
      <c r="O1937" s="184" t="str">
        <f>"["&amp;$C1937&amp;"]["&amp;$D1937&amp;"]["&amp;$F1937&amp;"]"</f>
        <v>[S05_InherentCarbonTransferredDetail][35][InherentCO2Received]</v>
      </c>
    </row>
    <row r="1938" spans="1:15" x14ac:dyDescent="0.3">
      <c r="A1938" t="s">
        <v>1793</v>
      </c>
      <c r="B1938" t="s">
        <v>2167</v>
      </c>
      <c r="C1938" t="s">
        <v>2169</v>
      </c>
      <c r="D1938">
        <v>36</v>
      </c>
      <c r="E1938" t="s">
        <v>1447</v>
      </c>
      <c r="F1938" t="s">
        <v>2257</v>
      </c>
      <c r="G1938" t="s">
        <v>1892</v>
      </c>
      <c r="H1938" t="s">
        <v>1799</v>
      </c>
      <c r="I1938" t="s">
        <v>1799</v>
      </c>
      <c r="J1938">
        <v>119903.277</v>
      </c>
      <c r="K1938" t="s">
        <v>1799</v>
      </c>
      <c r="L1938" t="s">
        <v>1799</v>
      </c>
      <c r="M1938" t="s">
        <v>1799</v>
      </c>
      <c r="N1938" t="s">
        <v>1799</v>
      </c>
      <c r="O1938" s="184" t="str">
        <f>"["&amp;$C1938&amp;"]["&amp;$D1938&amp;"]["&amp;$F1938&amp;"]"</f>
        <v>[S05_InherentCarbonTransferredDetail][36][InherentCO2Received]</v>
      </c>
    </row>
    <row r="1939" spans="1:15" x14ac:dyDescent="0.3">
      <c r="A1939" t="s">
        <v>1793</v>
      </c>
      <c r="B1939" t="s">
        <v>2167</v>
      </c>
      <c r="C1939" t="s">
        <v>2169</v>
      </c>
      <c r="D1939">
        <v>37</v>
      </c>
      <c r="E1939" t="s">
        <v>1447</v>
      </c>
      <c r="F1939" t="s">
        <v>2257</v>
      </c>
      <c r="G1939" t="s">
        <v>1892</v>
      </c>
      <c r="H1939" t="s">
        <v>1799</v>
      </c>
      <c r="I1939" t="s">
        <v>1799</v>
      </c>
      <c r="J1939">
        <v>42059.896999999997</v>
      </c>
      <c r="K1939" t="s">
        <v>1799</v>
      </c>
      <c r="L1939" t="s">
        <v>1799</v>
      </c>
      <c r="M1939" t="s">
        <v>1799</v>
      </c>
      <c r="N1939" t="s">
        <v>1799</v>
      </c>
      <c r="O1939" s="184" t="str">
        <f>"["&amp;$C1939&amp;"]["&amp;$D1939&amp;"]["&amp;$F1939&amp;"]"</f>
        <v>[S05_InherentCarbonTransferredDetail][37][InherentCO2Received]</v>
      </c>
    </row>
    <row r="1940" spans="1:15" x14ac:dyDescent="0.3">
      <c r="A1940" t="s">
        <v>1793</v>
      </c>
      <c r="B1940" t="s">
        <v>2167</v>
      </c>
      <c r="C1940" t="s">
        <v>2169</v>
      </c>
      <c r="D1940">
        <v>38</v>
      </c>
      <c r="E1940" t="s">
        <v>1447</v>
      </c>
      <c r="F1940" t="s">
        <v>2257</v>
      </c>
      <c r="G1940" t="s">
        <v>1892</v>
      </c>
      <c r="H1940" t="s">
        <v>1799</v>
      </c>
      <c r="I1940" t="s">
        <v>1799</v>
      </c>
      <c r="J1940">
        <v>1.86</v>
      </c>
      <c r="K1940" t="s">
        <v>1799</v>
      </c>
      <c r="L1940" t="s">
        <v>1799</v>
      </c>
      <c r="M1940" t="s">
        <v>1799</v>
      </c>
      <c r="N1940" t="s">
        <v>1799</v>
      </c>
      <c r="O1940" s="184" t="str">
        <f>"["&amp;$C1940&amp;"]["&amp;$D1940&amp;"]["&amp;$F1940&amp;"]"</f>
        <v>[S05_InherentCarbonTransferredDetail][38][InherentCO2Received]</v>
      </c>
    </row>
    <row r="1941" spans="1:15" x14ac:dyDescent="0.3">
      <c r="A1941" t="s">
        <v>1793</v>
      </c>
      <c r="B1941" t="s">
        <v>2167</v>
      </c>
      <c r="C1941" t="s">
        <v>2169</v>
      </c>
      <c r="D1941">
        <v>39</v>
      </c>
      <c r="E1941" t="s">
        <v>1447</v>
      </c>
      <c r="F1941" t="s">
        <v>2257</v>
      </c>
      <c r="G1941" t="s">
        <v>1892</v>
      </c>
      <c r="H1941" t="s">
        <v>1799</v>
      </c>
      <c r="I1941" t="s">
        <v>1799</v>
      </c>
      <c r="J1941">
        <v>88334.904999999999</v>
      </c>
      <c r="K1941" t="s">
        <v>1799</v>
      </c>
      <c r="L1941" t="s">
        <v>1799</v>
      </c>
      <c r="M1941" t="s">
        <v>1799</v>
      </c>
      <c r="N1941" t="s">
        <v>1799</v>
      </c>
      <c r="O1941" s="184" t="str">
        <f>"["&amp;$C1941&amp;"]["&amp;$D1941&amp;"]["&amp;$F1941&amp;"]"</f>
        <v>[S05_InherentCarbonTransferredDetail][39][InherentCO2Received]</v>
      </c>
    </row>
    <row r="1942" spans="1:15" x14ac:dyDescent="0.3">
      <c r="A1942" t="s">
        <v>1793</v>
      </c>
      <c r="B1942" t="s">
        <v>2167</v>
      </c>
      <c r="C1942" t="s">
        <v>2169</v>
      </c>
      <c r="D1942">
        <v>40</v>
      </c>
      <c r="E1942" t="s">
        <v>1447</v>
      </c>
      <c r="F1942" t="s">
        <v>2257</v>
      </c>
      <c r="G1942" t="s">
        <v>1892</v>
      </c>
      <c r="H1942" t="s">
        <v>1799</v>
      </c>
      <c r="I1942" t="s">
        <v>1799</v>
      </c>
      <c r="J1942">
        <v>80390.34</v>
      </c>
      <c r="K1942" t="s">
        <v>1799</v>
      </c>
      <c r="L1942" t="s">
        <v>1799</v>
      </c>
      <c r="M1942" t="s">
        <v>1799</v>
      </c>
      <c r="N1942" t="s">
        <v>1799</v>
      </c>
      <c r="O1942" s="184" t="str">
        <f>"["&amp;$C1942&amp;"]["&amp;$D1942&amp;"]["&amp;$F1942&amp;"]"</f>
        <v>[S05_InherentCarbonTransferredDetail][40][InherentCO2Received]</v>
      </c>
    </row>
    <row r="1943" spans="1:15" x14ac:dyDescent="0.3">
      <c r="A1943" t="s">
        <v>1793</v>
      </c>
      <c r="B1943" t="s">
        <v>2167</v>
      </c>
      <c r="C1943" t="s">
        <v>2169</v>
      </c>
      <c r="D1943">
        <v>41</v>
      </c>
      <c r="E1943" t="s">
        <v>1447</v>
      </c>
      <c r="F1943" t="s">
        <v>2257</v>
      </c>
      <c r="G1943" t="s">
        <v>1892</v>
      </c>
      <c r="H1943" t="s">
        <v>1799</v>
      </c>
      <c r="I1943" t="s">
        <v>1799</v>
      </c>
      <c r="J1943">
        <v>1095944.9950000001</v>
      </c>
      <c r="K1943" t="s">
        <v>1799</v>
      </c>
      <c r="L1943" t="s">
        <v>1799</v>
      </c>
      <c r="M1943" t="s">
        <v>1799</v>
      </c>
      <c r="N1943" t="s">
        <v>1799</v>
      </c>
      <c r="O1943" s="184" t="str">
        <f>"["&amp;$C1943&amp;"]["&amp;$D1943&amp;"]["&amp;$F1943&amp;"]"</f>
        <v>[S05_InherentCarbonTransferredDetail][41][InherentCO2Received]</v>
      </c>
    </row>
    <row r="1944" spans="1:15" x14ac:dyDescent="0.3">
      <c r="A1944" t="s">
        <v>1793</v>
      </c>
      <c r="B1944" t="s">
        <v>2167</v>
      </c>
      <c r="C1944" t="s">
        <v>2169</v>
      </c>
      <c r="D1944">
        <v>42</v>
      </c>
      <c r="E1944" t="s">
        <v>1447</v>
      </c>
      <c r="F1944" t="s">
        <v>2257</v>
      </c>
      <c r="G1944" t="s">
        <v>1892</v>
      </c>
      <c r="H1944" t="s">
        <v>1799</v>
      </c>
      <c r="I1944" t="s">
        <v>1799</v>
      </c>
      <c r="J1944">
        <v>3141159.8220000002</v>
      </c>
      <c r="K1944" t="s">
        <v>1799</v>
      </c>
      <c r="L1944" t="s">
        <v>1799</v>
      </c>
      <c r="M1944" t="s">
        <v>1799</v>
      </c>
      <c r="N1944" t="s">
        <v>1799</v>
      </c>
      <c r="O1944" s="184" t="str">
        <f>"["&amp;$C1944&amp;"]["&amp;$D1944&amp;"]["&amp;$F1944&amp;"]"</f>
        <v>[S05_InherentCarbonTransferredDetail][42][InherentCO2Received]</v>
      </c>
    </row>
    <row r="1945" spans="1:15" x14ac:dyDescent="0.3">
      <c r="A1945" t="s">
        <v>1793</v>
      </c>
      <c r="B1945" t="s">
        <v>2167</v>
      </c>
      <c r="C1945" t="s">
        <v>2169</v>
      </c>
      <c r="D1945">
        <v>43</v>
      </c>
      <c r="E1945" t="s">
        <v>1447</v>
      </c>
      <c r="F1945" t="s">
        <v>2257</v>
      </c>
      <c r="G1945" t="s">
        <v>1892</v>
      </c>
      <c r="H1945" t="s">
        <v>1799</v>
      </c>
      <c r="I1945" t="s">
        <v>1799</v>
      </c>
      <c r="J1945">
        <v>83920.875</v>
      </c>
      <c r="K1945" t="s">
        <v>1799</v>
      </c>
      <c r="L1945" t="s">
        <v>1799</v>
      </c>
      <c r="M1945" t="s">
        <v>1799</v>
      </c>
      <c r="N1945" t="s">
        <v>1799</v>
      </c>
      <c r="O1945" s="184" t="str">
        <f>"["&amp;$C1945&amp;"]["&amp;$D1945&amp;"]["&amp;$F1945&amp;"]"</f>
        <v>[S05_InherentCarbonTransferredDetail][43][InherentCO2Received]</v>
      </c>
    </row>
    <row r="1946" spans="1:15" x14ac:dyDescent="0.3">
      <c r="A1946" t="s">
        <v>1793</v>
      </c>
      <c r="B1946" t="s">
        <v>2167</v>
      </c>
      <c r="C1946" t="s">
        <v>2169</v>
      </c>
      <c r="D1946">
        <v>44</v>
      </c>
      <c r="E1946" t="s">
        <v>1447</v>
      </c>
      <c r="F1946" t="s">
        <v>2257</v>
      </c>
      <c r="G1946" t="s">
        <v>1892</v>
      </c>
      <c r="H1946" t="s">
        <v>1799</v>
      </c>
      <c r="I1946" t="s">
        <v>1799</v>
      </c>
      <c r="J1946">
        <v>3432.5680000000002</v>
      </c>
      <c r="K1946" t="s">
        <v>1799</v>
      </c>
      <c r="L1946" t="s">
        <v>1799</v>
      </c>
      <c r="M1946" t="s">
        <v>1799</v>
      </c>
      <c r="N1946" t="s">
        <v>1799</v>
      </c>
      <c r="O1946" s="184" t="str">
        <f>"["&amp;$C1946&amp;"]["&amp;$D1946&amp;"]["&amp;$F1946&amp;"]"</f>
        <v>[S05_InherentCarbonTransferredDetail][44][InherentCO2Received]</v>
      </c>
    </row>
    <row r="1947" spans="1:15" x14ac:dyDescent="0.3">
      <c r="A1947" t="s">
        <v>1793</v>
      </c>
      <c r="B1947" t="s">
        <v>2167</v>
      </c>
      <c r="C1947" t="s">
        <v>2169</v>
      </c>
      <c r="D1947">
        <v>45</v>
      </c>
      <c r="E1947" t="s">
        <v>1447</v>
      </c>
      <c r="F1947" t="s">
        <v>2257</v>
      </c>
      <c r="G1947" t="s">
        <v>1892</v>
      </c>
      <c r="H1947" t="s">
        <v>1799</v>
      </c>
      <c r="I1947" t="s">
        <v>1799</v>
      </c>
      <c r="J1947">
        <v>137394.196</v>
      </c>
      <c r="K1947" t="s">
        <v>1799</v>
      </c>
      <c r="L1947" t="s">
        <v>1799</v>
      </c>
      <c r="M1947" t="s">
        <v>1799</v>
      </c>
      <c r="N1947" t="s">
        <v>1799</v>
      </c>
      <c r="O1947" s="184" t="str">
        <f>"["&amp;$C1947&amp;"]["&amp;$D1947&amp;"]["&amp;$F1947&amp;"]"</f>
        <v>[S05_InherentCarbonTransferredDetail][45][InherentCO2Received]</v>
      </c>
    </row>
    <row r="1948" spans="1:15" x14ac:dyDescent="0.3">
      <c r="A1948" t="s">
        <v>1793</v>
      </c>
      <c r="B1948" t="s">
        <v>2167</v>
      </c>
      <c r="C1948" t="s">
        <v>2169</v>
      </c>
      <c r="D1948">
        <v>46</v>
      </c>
      <c r="E1948" t="s">
        <v>1447</v>
      </c>
      <c r="F1948" t="s">
        <v>2257</v>
      </c>
      <c r="G1948" t="s">
        <v>1892</v>
      </c>
      <c r="H1948" t="s">
        <v>1799</v>
      </c>
      <c r="I1948" t="s">
        <v>1799</v>
      </c>
      <c r="J1948">
        <v>42071.510999999999</v>
      </c>
      <c r="K1948" t="s">
        <v>1799</v>
      </c>
      <c r="L1948" t="s">
        <v>1799</v>
      </c>
      <c r="M1948" t="s">
        <v>1799</v>
      </c>
      <c r="N1948" t="s">
        <v>1799</v>
      </c>
      <c r="O1948" s="184" t="str">
        <f>"["&amp;$C1948&amp;"]["&amp;$D1948&amp;"]["&amp;$F1948&amp;"]"</f>
        <v>[S05_InherentCarbonTransferredDetail][46][InherentCO2Received]</v>
      </c>
    </row>
    <row r="1949" spans="1:15" x14ac:dyDescent="0.3">
      <c r="A1949" t="s">
        <v>1793</v>
      </c>
      <c r="B1949" t="s">
        <v>2167</v>
      </c>
      <c r="C1949" t="s">
        <v>2169</v>
      </c>
      <c r="D1949">
        <v>47</v>
      </c>
      <c r="E1949" t="s">
        <v>1447</v>
      </c>
      <c r="F1949" t="s">
        <v>2257</v>
      </c>
      <c r="G1949" t="s">
        <v>1892</v>
      </c>
      <c r="H1949" t="s">
        <v>1799</v>
      </c>
      <c r="I1949" t="s">
        <v>1799</v>
      </c>
      <c r="J1949">
        <v>26107.695</v>
      </c>
      <c r="K1949" t="s">
        <v>1799</v>
      </c>
      <c r="L1949" t="s">
        <v>1799</v>
      </c>
      <c r="M1949" t="s">
        <v>1799</v>
      </c>
      <c r="N1949" t="s">
        <v>1799</v>
      </c>
      <c r="O1949" s="184" t="str">
        <f>"["&amp;$C1949&amp;"]["&amp;$D1949&amp;"]["&amp;$F1949&amp;"]"</f>
        <v>[S05_InherentCarbonTransferredDetail][47][InherentCO2Received]</v>
      </c>
    </row>
    <row r="1950" spans="1:15" x14ac:dyDescent="0.3">
      <c r="A1950" t="s">
        <v>1793</v>
      </c>
      <c r="B1950" t="s">
        <v>2167</v>
      </c>
      <c r="C1950" t="s">
        <v>2169</v>
      </c>
      <c r="D1950">
        <v>48</v>
      </c>
      <c r="E1950" t="s">
        <v>1447</v>
      </c>
      <c r="F1950" t="s">
        <v>2257</v>
      </c>
      <c r="G1950" t="s">
        <v>1892</v>
      </c>
      <c r="H1950" t="s">
        <v>1799</v>
      </c>
      <c r="I1950" t="s">
        <v>1799</v>
      </c>
      <c r="J1950">
        <v>301197.5</v>
      </c>
      <c r="K1950" t="s">
        <v>1799</v>
      </c>
      <c r="L1950" t="s">
        <v>1799</v>
      </c>
      <c r="M1950" t="s">
        <v>1799</v>
      </c>
      <c r="N1950" t="s">
        <v>1799</v>
      </c>
      <c r="O1950" s="184" t="str">
        <f>"["&amp;$C1950&amp;"]["&amp;$D1950&amp;"]["&amp;$F1950&amp;"]"</f>
        <v>[S05_InherentCarbonTransferredDetail][48][InherentCO2Received]</v>
      </c>
    </row>
    <row r="1951" spans="1:15" x14ac:dyDescent="0.3">
      <c r="A1951" t="s">
        <v>1793</v>
      </c>
      <c r="B1951" t="s">
        <v>2167</v>
      </c>
      <c r="C1951" t="s">
        <v>2169</v>
      </c>
      <c r="D1951">
        <v>49</v>
      </c>
      <c r="E1951" t="s">
        <v>1447</v>
      </c>
      <c r="F1951" t="s">
        <v>2257</v>
      </c>
      <c r="G1951" t="s">
        <v>1892</v>
      </c>
      <c r="H1951" t="s">
        <v>1799</v>
      </c>
      <c r="I1951" t="s">
        <v>1799</v>
      </c>
      <c r="J1951">
        <v>2494349.4</v>
      </c>
      <c r="K1951" t="s">
        <v>1799</v>
      </c>
      <c r="L1951" t="s">
        <v>1799</v>
      </c>
      <c r="M1951" t="s">
        <v>1799</v>
      </c>
      <c r="N1951" t="s">
        <v>1799</v>
      </c>
      <c r="O1951" s="184" t="str">
        <f>"["&amp;$C1951&amp;"]["&amp;$D1951&amp;"]["&amp;$F1951&amp;"]"</f>
        <v>[S05_InherentCarbonTransferredDetail][49][InherentCO2Received]</v>
      </c>
    </row>
    <row r="1952" spans="1:15" x14ac:dyDescent="0.3">
      <c r="A1952" t="s">
        <v>1793</v>
      </c>
      <c r="B1952" t="s">
        <v>2167</v>
      </c>
      <c r="C1952" t="s">
        <v>2169</v>
      </c>
      <c r="D1952">
        <v>50</v>
      </c>
      <c r="E1952" t="s">
        <v>1447</v>
      </c>
      <c r="F1952" t="s">
        <v>2257</v>
      </c>
      <c r="G1952" t="s">
        <v>1892</v>
      </c>
      <c r="H1952" t="s">
        <v>1799</v>
      </c>
      <c r="I1952" t="s">
        <v>1799</v>
      </c>
      <c r="J1952">
        <v>35093.800000000003</v>
      </c>
      <c r="K1952" t="s">
        <v>1799</v>
      </c>
      <c r="L1952" t="s">
        <v>1799</v>
      </c>
      <c r="M1952" t="s">
        <v>1799</v>
      </c>
      <c r="N1952" t="s">
        <v>1799</v>
      </c>
      <c r="O1952" s="184" t="str">
        <f>"["&amp;$C1952&amp;"]["&amp;$D1952&amp;"]["&amp;$F1952&amp;"]"</f>
        <v>[S05_InherentCarbonTransferredDetail][50][InherentCO2Received]</v>
      </c>
    </row>
    <row r="1953" spans="1:15" x14ac:dyDescent="0.3">
      <c r="A1953" t="s">
        <v>1793</v>
      </c>
      <c r="B1953" t="s">
        <v>2167</v>
      </c>
      <c r="C1953" t="s">
        <v>2169</v>
      </c>
      <c r="D1953">
        <v>51</v>
      </c>
      <c r="E1953" t="s">
        <v>1447</v>
      </c>
      <c r="F1953" t="s">
        <v>2257</v>
      </c>
      <c r="G1953" t="s">
        <v>1892</v>
      </c>
      <c r="H1953" t="s">
        <v>1799</v>
      </c>
      <c r="I1953" t="s">
        <v>1799</v>
      </c>
      <c r="J1953">
        <v>894348.28799999994</v>
      </c>
      <c r="K1953" t="s">
        <v>1799</v>
      </c>
      <c r="L1953" t="s">
        <v>1799</v>
      </c>
      <c r="M1953" t="s">
        <v>1799</v>
      </c>
      <c r="N1953" t="s">
        <v>1799</v>
      </c>
      <c r="O1953" s="184" t="str">
        <f>"["&amp;$C1953&amp;"]["&amp;$D1953&amp;"]["&amp;$F1953&amp;"]"</f>
        <v>[S05_InherentCarbonTransferredDetail][51][InherentCO2Received]</v>
      </c>
    </row>
    <row r="1954" spans="1:15" x14ac:dyDescent="0.3">
      <c r="A1954" t="s">
        <v>1793</v>
      </c>
      <c r="B1954" t="s">
        <v>2167</v>
      </c>
      <c r="C1954" t="s">
        <v>2169</v>
      </c>
      <c r="D1954">
        <v>52</v>
      </c>
      <c r="E1954" t="s">
        <v>1447</v>
      </c>
      <c r="F1954" t="s">
        <v>2257</v>
      </c>
      <c r="G1954" t="s">
        <v>1892</v>
      </c>
      <c r="H1954" t="s">
        <v>1799</v>
      </c>
      <c r="I1954" t="s">
        <v>1799</v>
      </c>
      <c r="J1954">
        <v>1858857.3810000001</v>
      </c>
      <c r="K1954" t="s">
        <v>1799</v>
      </c>
      <c r="L1954" t="s">
        <v>1799</v>
      </c>
      <c r="M1954" t="s">
        <v>1799</v>
      </c>
      <c r="N1954" t="s">
        <v>1799</v>
      </c>
      <c r="O1954" s="184" t="str">
        <f>"["&amp;$C1954&amp;"]["&amp;$D1954&amp;"]["&amp;$F1954&amp;"]"</f>
        <v>[S05_InherentCarbonTransferredDetail][52][InherentCO2Received]</v>
      </c>
    </row>
    <row r="1955" spans="1:15" x14ac:dyDescent="0.3">
      <c r="A1955" t="s">
        <v>1793</v>
      </c>
      <c r="B1955" t="s">
        <v>2167</v>
      </c>
      <c r="C1955" t="s">
        <v>2169</v>
      </c>
      <c r="D1955">
        <v>53</v>
      </c>
      <c r="E1955" t="s">
        <v>1447</v>
      </c>
      <c r="F1955" t="s">
        <v>2257</v>
      </c>
      <c r="G1955" t="s">
        <v>1892</v>
      </c>
      <c r="H1955" t="s">
        <v>1799</v>
      </c>
      <c r="I1955" t="s">
        <v>1799</v>
      </c>
      <c r="J1955">
        <v>64868.237000000001</v>
      </c>
      <c r="K1955" t="s">
        <v>1799</v>
      </c>
      <c r="L1955" t="s">
        <v>1799</v>
      </c>
      <c r="M1955" t="s">
        <v>1799</v>
      </c>
      <c r="N1955" t="s">
        <v>1799</v>
      </c>
      <c r="O1955" s="184" t="str">
        <f>"["&amp;$C1955&amp;"]["&amp;$D1955&amp;"]["&amp;$F1955&amp;"]"</f>
        <v>[S05_InherentCarbonTransferredDetail][53][InherentCO2Received]</v>
      </c>
    </row>
    <row r="1956" spans="1:15" x14ac:dyDescent="0.3">
      <c r="A1956" t="s">
        <v>1793</v>
      </c>
      <c r="B1956" t="s">
        <v>2167</v>
      </c>
      <c r="C1956" t="s">
        <v>2169</v>
      </c>
      <c r="D1956">
        <v>54</v>
      </c>
      <c r="E1956" t="s">
        <v>1447</v>
      </c>
      <c r="F1956" t="s">
        <v>2257</v>
      </c>
      <c r="G1956" t="s">
        <v>1892</v>
      </c>
      <c r="H1956" t="s">
        <v>1799</v>
      </c>
      <c r="I1956" t="s">
        <v>1799</v>
      </c>
      <c r="J1956">
        <v>1473957.8359999999</v>
      </c>
      <c r="K1956" t="s">
        <v>1799</v>
      </c>
      <c r="L1956" t="s">
        <v>1799</v>
      </c>
      <c r="M1956" t="s">
        <v>1799</v>
      </c>
      <c r="N1956" t="s">
        <v>1799</v>
      </c>
      <c r="O1956" s="184" t="str">
        <f>"["&amp;$C1956&amp;"]["&amp;$D1956&amp;"]["&amp;$F1956&amp;"]"</f>
        <v>[S05_InherentCarbonTransferredDetail][54][InherentCO2Received]</v>
      </c>
    </row>
    <row r="1957" spans="1:15" x14ac:dyDescent="0.3">
      <c r="A1957" t="s">
        <v>1793</v>
      </c>
      <c r="B1957" t="s">
        <v>2167</v>
      </c>
      <c r="C1957" t="s">
        <v>2169</v>
      </c>
      <c r="D1957">
        <v>55</v>
      </c>
      <c r="E1957" t="s">
        <v>1447</v>
      </c>
      <c r="F1957" t="s">
        <v>2257</v>
      </c>
      <c r="G1957" t="s">
        <v>1892</v>
      </c>
      <c r="H1957" t="s">
        <v>1799</v>
      </c>
      <c r="I1957" t="s">
        <v>1799</v>
      </c>
      <c r="J1957">
        <v>3105528.736</v>
      </c>
      <c r="K1957" t="s">
        <v>1799</v>
      </c>
      <c r="L1957" t="s">
        <v>1799</v>
      </c>
      <c r="M1957" t="s">
        <v>1799</v>
      </c>
      <c r="N1957" t="s">
        <v>1799</v>
      </c>
      <c r="O1957" s="184" t="str">
        <f>"["&amp;$C1957&amp;"]["&amp;$D1957&amp;"]["&amp;$F1957&amp;"]"</f>
        <v>[S05_InherentCarbonTransferredDetail][55][InherentCO2Received]</v>
      </c>
    </row>
    <row r="1958" spans="1:15" x14ac:dyDescent="0.3">
      <c r="A1958" t="s">
        <v>1793</v>
      </c>
      <c r="B1958" t="s">
        <v>2167</v>
      </c>
      <c r="C1958" t="s">
        <v>2169</v>
      </c>
      <c r="D1958">
        <v>56</v>
      </c>
      <c r="E1958" t="s">
        <v>1447</v>
      </c>
      <c r="F1958" t="s">
        <v>2257</v>
      </c>
      <c r="G1958" t="s">
        <v>1892</v>
      </c>
      <c r="H1958" t="s">
        <v>1799</v>
      </c>
      <c r="I1958" t="s">
        <v>1799</v>
      </c>
      <c r="J1958">
        <v>2385985.5759999999</v>
      </c>
      <c r="K1958" t="s">
        <v>1799</v>
      </c>
      <c r="L1958" t="s">
        <v>1799</v>
      </c>
      <c r="M1958" t="s">
        <v>1799</v>
      </c>
      <c r="N1958" t="s">
        <v>1799</v>
      </c>
      <c r="O1958" s="184" t="str">
        <f>"["&amp;$C1958&amp;"]["&amp;$D1958&amp;"]["&amp;$F1958&amp;"]"</f>
        <v>[S05_InherentCarbonTransferredDetail][56][InherentCO2Received]</v>
      </c>
    </row>
    <row r="1959" spans="1:15" x14ac:dyDescent="0.3">
      <c r="A1959" t="s">
        <v>1793</v>
      </c>
      <c r="B1959" t="s">
        <v>2167</v>
      </c>
      <c r="C1959" t="s">
        <v>2169</v>
      </c>
      <c r="D1959">
        <v>57</v>
      </c>
      <c r="E1959" t="s">
        <v>1447</v>
      </c>
      <c r="F1959" t="s">
        <v>2257</v>
      </c>
      <c r="G1959" t="s">
        <v>1892</v>
      </c>
      <c r="H1959" t="s">
        <v>1799</v>
      </c>
      <c r="I1959" t="s">
        <v>1799</v>
      </c>
      <c r="J1959">
        <v>75659.014999999999</v>
      </c>
      <c r="K1959" t="s">
        <v>1799</v>
      </c>
      <c r="L1959" t="s">
        <v>1799</v>
      </c>
      <c r="M1959" t="s">
        <v>1799</v>
      </c>
      <c r="N1959" t="s">
        <v>1799</v>
      </c>
      <c r="O1959" s="184" t="str">
        <f>"["&amp;$C1959&amp;"]["&amp;$D1959&amp;"]["&amp;$F1959&amp;"]"</f>
        <v>[S05_InherentCarbonTransferredDetail][57][InherentCO2Received]</v>
      </c>
    </row>
    <row r="1960" spans="1:15" x14ac:dyDescent="0.3">
      <c r="A1960" t="s">
        <v>1793</v>
      </c>
      <c r="B1960" t="s">
        <v>2167</v>
      </c>
      <c r="C1960" t="s">
        <v>2169</v>
      </c>
      <c r="D1960">
        <v>58</v>
      </c>
      <c r="E1960" t="s">
        <v>1447</v>
      </c>
      <c r="F1960" t="s">
        <v>2257</v>
      </c>
      <c r="G1960" t="s">
        <v>1892</v>
      </c>
      <c r="H1960" t="s">
        <v>1799</v>
      </c>
      <c r="I1960" t="s">
        <v>1799</v>
      </c>
      <c r="J1960">
        <v>9274.6270000000004</v>
      </c>
      <c r="K1960" t="s">
        <v>1799</v>
      </c>
      <c r="L1960" t="s">
        <v>1799</v>
      </c>
      <c r="M1960" t="s">
        <v>1799</v>
      </c>
      <c r="N1960" t="s">
        <v>1799</v>
      </c>
      <c r="O1960" s="184" t="str">
        <f>"["&amp;$C1960&amp;"]["&amp;$D1960&amp;"]["&amp;$F1960&amp;"]"</f>
        <v>[S05_InherentCarbonTransferredDetail][58][InherentCO2Received]</v>
      </c>
    </row>
    <row r="1961" spans="1:15" x14ac:dyDescent="0.3">
      <c r="A1961" t="s">
        <v>1793</v>
      </c>
      <c r="B1961" t="s">
        <v>2167</v>
      </c>
      <c r="C1961" t="s">
        <v>2169</v>
      </c>
      <c r="D1961">
        <v>59</v>
      </c>
      <c r="E1961" t="s">
        <v>1447</v>
      </c>
      <c r="F1961" t="s">
        <v>2257</v>
      </c>
      <c r="G1961" t="s">
        <v>1892</v>
      </c>
      <c r="H1961" t="s">
        <v>1799</v>
      </c>
      <c r="I1961" t="s">
        <v>1799</v>
      </c>
      <c r="J1961">
        <v>347739.1</v>
      </c>
      <c r="K1961" t="s">
        <v>1799</v>
      </c>
      <c r="L1961" t="s">
        <v>1799</v>
      </c>
      <c r="M1961" t="s">
        <v>1799</v>
      </c>
      <c r="N1961" t="s">
        <v>1799</v>
      </c>
      <c r="O1961" s="184" t="str">
        <f>"["&amp;$C1961&amp;"]["&amp;$D1961&amp;"]["&amp;$F1961&amp;"]"</f>
        <v>[S05_InherentCarbonTransferredDetail][59][InherentCO2Received]</v>
      </c>
    </row>
    <row r="1962" spans="1:15" x14ac:dyDescent="0.3">
      <c r="A1962" t="s">
        <v>1793</v>
      </c>
      <c r="B1962" t="s">
        <v>2167</v>
      </c>
      <c r="C1962" t="s">
        <v>2169</v>
      </c>
      <c r="D1962">
        <v>60</v>
      </c>
      <c r="E1962" t="s">
        <v>1447</v>
      </c>
      <c r="F1962" t="s">
        <v>2257</v>
      </c>
      <c r="G1962" t="s">
        <v>1892</v>
      </c>
      <c r="H1962" t="s">
        <v>1799</v>
      </c>
      <c r="I1962" t="s">
        <v>1799</v>
      </c>
      <c r="J1962">
        <v>14608.673000000001</v>
      </c>
      <c r="K1962" t="s">
        <v>1799</v>
      </c>
      <c r="L1962" t="s">
        <v>1799</v>
      </c>
      <c r="M1962" t="s">
        <v>1799</v>
      </c>
      <c r="N1962" t="s">
        <v>1799</v>
      </c>
      <c r="O1962" s="184" t="str">
        <f>"["&amp;$C1962&amp;"]["&amp;$D1962&amp;"]["&amp;$F1962&amp;"]"</f>
        <v>[S05_InherentCarbonTransferredDetail][60][InherentCO2Received]</v>
      </c>
    </row>
    <row r="1963" spans="1:15" x14ac:dyDescent="0.3">
      <c r="A1963" t="s">
        <v>1793</v>
      </c>
      <c r="B1963" t="s">
        <v>2167</v>
      </c>
      <c r="C1963" t="s">
        <v>2169</v>
      </c>
      <c r="D1963">
        <v>61</v>
      </c>
      <c r="E1963" t="s">
        <v>1447</v>
      </c>
      <c r="F1963" t="s">
        <v>2257</v>
      </c>
      <c r="G1963" t="s">
        <v>1892</v>
      </c>
      <c r="H1963" t="s">
        <v>1799</v>
      </c>
      <c r="I1963" t="s">
        <v>1799</v>
      </c>
      <c r="J1963">
        <v>1534.9929999999999</v>
      </c>
      <c r="K1963" t="s">
        <v>1799</v>
      </c>
      <c r="L1963" t="s">
        <v>1799</v>
      </c>
      <c r="M1963" t="s">
        <v>1799</v>
      </c>
      <c r="N1963" t="s">
        <v>1799</v>
      </c>
      <c r="O1963" s="184" t="str">
        <f>"["&amp;$C1963&amp;"]["&amp;$D1963&amp;"]["&amp;$F1963&amp;"]"</f>
        <v>[S05_InherentCarbonTransferredDetail][61][InherentCO2Received]</v>
      </c>
    </row>
    <row r="1964" spans="1:15" x14ac:dyDescent="0.3">
      <c r="A1964" t="s">
        <v>1793</v>
      </c>
      <c r="B1964" t="s">
        <v>2167</v>
      </c>
      <c r="C1964" t="s">
        <v>2169</v>
      </c>
      <c r="D1964">
        <v>62</v>
      </c>
      <c r="E1964" t="s">
        <v>1447</v>
      </c>
      <c r="F1964" t="s">
        <v>2257</v>
      </c>
      <c r="G1964" t="s">
        <v>1892</v>
      </c>
      <c r="H1964" t="s">
        <v>1799</v>
      </c>
      <c r="I1964" t="s">
        <v>1799</v>
      </c>
      <c r="J1964">
        <v>1194.3</v>
      </c>
      <c r="K1964" t="s">
        <v>1799</v>
      </c>
      <c r="L1964" t="s">
        <v>1799</v>
      </c>
      <c r="M1964" t="s">
        <v>1799</v>
      </c>
      <c r="N1964" t="s">
        <v>1799</v>
      </c>
      <c r="O1964" s="184" t="str">
        <f>"["&amp;$C1964&amp;"]["&amp;$D1964&amp;"]["&amp;$F1964&amp;"]"</f>
        <v>[S05_InherentCarbonTransferredDetail][62][InherentCO2Received]</v>
      </c>
    </row>
    <row r="1965" spans="1:15" x14ac:dyDescent="0.3">
      <c r="A1965" t="s">
        <v>1793</v>
      </c>
      <c r="B1965" t="s">
        <v>2167</v>
      </c>
      <c r="C1965" t="s">
        <v>2169</v>
      </c>
      <c r="D1965">
        <v>63</v>
      </c>
      <c r="E1965" t="s">
        <v>1447</v>
      </c>
      <c r="F1965" t="s">
        <v>2257</v>
      </c>
      <c r="G1965" t="s">
        <v>1892</v>
      </c>
      <c r="H1965" t="s">
        <v>1799</v>
      </c>
      <c r="I1965" t="s">
        <v>1799</v>
      </c>
      <c r="J1965">
        <v>5329</v>
      </c>
      <c r="K1965" t="s">
        <v>1799</v>
      </c>
      <c r="L1965" t="s">
        <v>1799</v>
      </c>
      <c r="M1965" t="s">
        <v>1799</v>
      </c>
      <c r="N1965" t="s">
        <v>1799</v>
      </c>
      <c r="O1965" s="184" t="str">
        <f>"["&amp;$C1965&amp;"]["&amp;$D1965&amp;"]["&amp;$F1965&amp;"]"</f>
        <v>[S05_InherentCarbonTransferredDetail][63][InherentCO2Received]</v>
      </c>
    </row>
    <row r="1966" spans="1:15" x14ac:dyDescent="0.3">
      <c r="A1966" t="s">
        <v>1793</v>
      </c>
      <c r="B1966" t="s">
        <v>2167</v>
      </c>
      <c r="C1966" t="s">
        <v>2169</v>
      </c>
      <c r="D1966">
        <v>64</v>
      </c>
      <c r="E1966" t="s">
        <v>1447</v>
      </c>
      <c r="F1966" t="s">
        <v>2257</v>
      </c>
      <c r="G1966" t="s">
        <v>1892</v>
      </c>
      <c r="H1966" t="s">
        <v>1799</v>
      </c>
      <c r="I1966" t="s">
        <v>1799</v>
      </c>
      <c r="J1966">
        <v>1863.567</v>
      </c>
      <c r="K1966" t="s">
        <v>1799</v>
      </c>
      <c r="L1966" t="s">
        <v>1799</v>
      </c>
      <c r="M1966" t="s">
        <v>1799</v>
      </c>
      <c r="N1966" t="s">
        <v>1799</v>
      </c>
      <c r="O1966" s="184" t="str">
        <f>"["&amp;$C1966&amp;"]["&amp;$D1966&amp;"]["&amp;$F1966&amp;"]"</f>
        <v>[S05_InherentCarbonTransferredDetail][64][InherentCO2Received]</v>
      </c>
    </row>
    <row r="1967" spans="1:15" x14ac:dyDescent="0.3">
      <c r="A1967" t="s">
        <v>1793</v>
      </c>
      <c r="B1967" t="s">
        <v>2167</v>
      </c>
      <c r="C1967" t="s">
        <v>2169</v>
      </c>
      <c r="D1967">
        <v>65</v>
      </c>
      <c r="E1967" t="s">
        <v>1447</v>
      </c>
      <c r="F1967" t="s">
        <v>2257</v>
      </c>
      <c r="G1967" t="s">
        <v>1892</v>
      </c>
      <c r="H1967" t="s">
        <v>1799</v>
      </c>
      <c r="I1967" t="s">
        <v>1799</v>
      </c>
      <c r="J1967">
        <v>7562.9</v>
      </c>
      <c r="K1967" t="s">
        <v>1799</v>
      </c>
      <c r="L1967" t="s">
        <v>1799</v>
      </c>
      <c r="M1967" t="s">
        <v>1799</v>
      </c>
      <c r="N1967" t="s">
        <v>1799</v>
      </c>
      <c r="O1967" s="184" t="str">
        <f>"["&amp;$C1967&amp;"]["&amp;$D1967&amp;"]["&amp;$F1967&amp;"]"</f>
        <v>[S05_InherentCarbonTransferredDetail][65][InherentCO2Received]</v>
      </c>
    </row>
    <row r="1968" spans="1:15" x14ac:dyDescent="0.3">
      <c r="A1968" t="s">
        <v>1793</v>
      </c>
      <c r="B1968" t="s">
        <v>2167</v>
      </c>
      <c r="C1968" t="s">
        <v>2169</v>
      </c>
      <c r="D1968">
        <v>66</v>
      </c>
      <c r="E1968" t="s">
        <v>1447</v>
      </c>
      <c r="F1968" t="s">
        <v>2257</v>
      </c>
      <c r="G1968" t="s">
        <v>1892</v>
      </c>
      <c r="H1968" t="s">
        <v>1799</v>
      </c>
      <c r="I1968" t="s">
        <v>1799</v>
      </c>
      <c r="J1968">
        <v>16433.118999999999</v>
      </c>
      <c r="K1968" t="s">
        <v>1799</v>
      </c>
      <c r="L1968" t="s">
        <v>1799</v>
      </c>
      <c r="M1968" t="s">
        <v>1799</v>
      </c>
      <c r="N1968" t="s">
        <v>1799</v>
      </c>
      <c r="O1968" s="184" t="str">
        <f>"["&amp;$C1968&amp;"]["&amp;$D1968&amp;"]["&amp;$F1968&amp;"]"</f>
        <v>[S05_InherentCarbonTransferredDetail][66][InherentCO2Received]</v>
      </c>
    </row>
    <row r="1969" spans="1:15" x14ac:dyDescent="0.3">
      <c r="A1969" t="s">
        <v>1793</v>
      </c>
      <c r="B1969" t="s">
        <v>2167</v>
      </c>
      <c r="C1969" t="s">
        <v>2169</v>
      </c>
      <c r="D1969">
        <v>67</v>
      </c>
      <c r="E1969" t="s">
        <v>1447</v>
      </c>
      <c r="F1969" t="s">
        <v>2257</v>
      </c>
      <c r="G1969" t="s">
        <v>1892</v>
      </c>
      <c r="H1969" t="s">
        <v>1799</v>
      </c>
      <c r="I1969" t="s">
        <v>1799</v>
      </c>
      <c r="J1969">
        <v>4119.2780000000002</v>
      </c>
      <c r="K1969" t="s">
        <v>1799</v>
      </c>
      <c r="L1969" t="s">
        <v>1799</v>
      </c>
      <c r="M1969" t="s">
        <v>1799</v>
      </c>
      <c r="N1969" t="s">
        <v>1799</v>
      </c>
      <c r="O1969" s="184" t="str">
        <f>"["&amp;$C1969&amp;"]["&amp;$D1969&amp;"]["&amp;$F1969&amp;"]"</f>
        <v>[S05_InherentCarbonTransferredDetail][67][InherentCO2Received]</v>
      </c>
    </row>
    <row r="1970" spans="1:15" x14ac:dyDescent="0.3">
      <c r="A1970" t="s">
        <v>1793</v>
      </c>
      <c r="B1970" t="s">
        <v>2167</v>
      </c>
      <c r="C1970" t="s">
        <v>2169</v>
      </c>
      <c r="D1970">
        <v>68</v>
      </c>
      <c r="E1970" t="s">
        <v>1447</v>
      </c>
      <c r="F1970" t="s">
        <v>2257</v>
      </c>
      <c r="G1970" t="s">
        <v>1892</v>
      </c>
      <c r="H1970" t="s">
        <v>1799</v>
      </c>
      <c r="I1970" t="s">
        <v>1799</v>
      </c>
      <c r="J1970">
        <v>1304.9949999999999</v>
      </c>
      <c r="K1970" t="s">
        <v>1799</v>
      </c>
      <c r="L1970" t="s">
        <v>1799</v>
      </c>
      <c r="M1970" t="s">
        <v>1799</v>
      </c>
      <c r="N1970" t="s">
        <v>1799</v>
      </c>
      <c r="O1970" s="184" t="str">
        <f>"["&amp;$C1970&amp;"]["&amp;$D1970&amp;"]["&amp;$F1970&amp;"]"</f>
        <v>[S05_InherentCarbonTransferredDetail][68][InherentCO2Received]</v>
      </c>
    </row>
    <row r="1971" spans="1:15" x14ac:dyDescent="0.3">
      <c r="A1971" t="s">
        <v>1793</v>
      </c>
      <c r="B1971" t="s">
        <v>2167</v>
      </c>
      <c r="C1971" t="s">
        <v>2169</v>
      </c>
      <c r="D1971">
        <v>69</v>
      </c>
      <c r="E1971" t="s">
        <v>1447</v>
      </c>
      <c r="F1971" t="s">
        <v>2257</v>
      </c>
      <c r="G1971" t="s">
        <v>1892</v>
      </c>
      <c r="H1971" t="s">
        <v>1799</v>
      </c>
      <c r="I1971" t="s">
        <v>1799</v>
      </c>
      <c r="J1971">
        <v>5792.3469999999998</v>
      </c>
      <c r="K1971" t="s">
        <v>1799</v>
      </c>
      <c r="L1971" t="s">
        <v>1799</v>
      </c>
      <c r="M1971" t="s">
        <v>1799</v>
      </c>
      <c r="N1971" t="s">
        <v>1799</v>
      </c>
      <c r="O1971" s="184" t="str">
        <f>"["&amp;$C1971&amp;"]["&amp;$D1971&amp;"]["&amp;$F1971&amp;"]"</f>
        <v>[S05_InherentCarbonTransferredDetail][69][InherentCO2Received]</v>
      </c>
    </row>
    <row r="1972" spans="1:15" x14ac:dyDescent="0.3">
      <c r="A1972" t="s">
        <v>1793</v>
      </c>
      <c r="B1972" t="s">
        <v>2167</v>
      </c>
      <c r="C1972" t="s">
        <v>2169</v>
      </c>
      <c r="D1972">
        <v>70</v>
      </c>
      <c r="E1972" t="s">
        <v>1447</v>
      </c>
      <c r="F1972" t="s">
        <v>2257</v>
      </c>
      <c r="G1972" t="s">
        <v>1892</v>
      </c>
      <c r="H1972" t="s">
        <v>1799</v>
      </c>
      <c r="I1972" t="s">
        <v>1799</v>
      </c>
      <c r="J1972">
        <v>42.03</v>
      </c>
      <c r="K1972" t="s">
        <v>1799</v>
      </c>
      <c r="L1972" t="s">
        <v>1799</v>
      </c>
      <c r="M1972" t="s">
        <v>1799</v>
      </c>
      <c r="N1972" t="s">
        <v>1799</v>
      </c>
      <c r="O1972" s="184" t="str">
        <f>"["&amp;$C1972&amp;"]["&amp;$D1972&amp;"]["&amp;$F1972&amp;"]"</f>
        <v>[S05_InherentCarbonTransferredDetail][70][InherentCO2Received]</v>
      </c>
    </row>
    <row r="1973" spans="1:15" x14ac:dyDescent="0.3">
      <c r="A1973" t="s">
        <v>1793</v>
      </c>
      <c r="B1973" t="s">
        <v>2167</v>
      </c>
      <c r="C1973" t="s">
        <v>2169</v>
      </c>
      <c r="D1973">
        <v>71</v>
      </c>
      <c r="E1973" t="s">
        <v>1447</v>
      </c>
      <c r="F1973" t="s">
        <v>2257</v>
      </c>
      <c r="G1973" t="s">
        <v>1892</v>
      </c>
      <c r="H1973" t="s">
        <v>1799</v>
      </c>
      <c r="I1973" t="s">
        <v>1799</v>
      </c>
      <c r="J1973">
        <v>342.21800000000002</v>
      </c>
      <c r="K1973" t="s">
        <v>1799</v>
      </c>
      <c r="L1973" t="s">
        <v>1799</v>
      </c>
      <c r="M1973" t="s">
        <v>1799</v>
      </c>
      <c r="N1973" t="s">
        <v>1799</v>
      </c>
      <c r="O1973" s="184" t="str">
        <f>"["&amp;$C1973&amp;"]["&amp;$D1973&amp;"]["&amp;$F1973&amp;"]"</f>
        <v>[S05_InherentCarbonTransferredDetail][71][InherentCO2Received]</v>
      </c>
    </row>
    <row r="1974" spans="1:15" x14ac:dyDescent="0.3">
      <c r="A1974" t="s">
        <v>1793</v>
      </c>
      <c r="B1974" t="s">
        <v>2167</v>
      </c>
      <c r="C1974" t="s">
        <v>2169</v>
      </c>
      <c r="D1974">
        <v>72</v>
      </c>
      <c r="E1974" t="s">
        <v>1447</v>
      </c>
      <c r="F1974" t="s">
        <v>2257</v>
      </c>
      <c r="G1974" t="s">
        <v>1892</v>
      </c>
      <c r="H1974" t="s">
        <v>1799</v>
      </c>
      <c r="I1974" t="s">
        <v>1799</v>
      </c>
      <c r="J1974">
        <v>1140.3910000000001</v>
      </c>
      <c r="K1974" t="s">
        <v>1799</v>
      </c>
      <c r="L1974" t="s">
        <v>1799</v>
      </c>
      <c r="M1974" t="s">
        <v>1799</v>
      </c>
      <c r="N1974" t="s">
        <v>1799</v>
      </c>
      <c r="O1974" s="184" t="str">
        <f>"["&amp;$C1974&amp;"]["&amp;$D1974&amp;"]["&amp;$F1974&amp;"]"</f>
        <v>[S05_InherentCarbonTransferredDetail][72][InherentCO2Received]</v>
      </c>
    </row>
    <row r="1975" spans="1:15" x14ac:dyDescent="0.3">
      <c r="A1975" t="s">
        <v>1793</v>
      </c>
      <c r="B1975" t="s">
        <v>2167</v>
      </c>
      <c r="C1975" t="s">
        <v>2169</v>
      </c>
      <c r="D1975">
        <v>73</v>
      </c>
      <c r="E1975" t="s">
        <v>1447</v>
      </c>
      <c r="F1975" t="s">
        <v>2257</v>
      </c>
      <c r="G1975" t="s">
        <v>1892</v>
      </c>
      <c r="H1975" t="s">
        <v>1799</v>
      </c>
      <c r="I1975" t="s">
        <v>1799</v>
      </c>
      <c r="J1975">
        <v>202.69300000000001</v>
      </c>
      <c r="K1975" t="s">
        <v>1799</v>
      </c>
      <c r="L1975" t="s">
        <v>1799</v>
      </c>
      <c r="M1975" t="s">
        <v>1799</v>
      </c>
      <c r="N1975" t="s">
        <v>1799</v>
      </c>
      <c r="O1975" s="184" t="str">
        <f>"["&amp;$C1975&amp;"]["&amp;$D1975&amp;"]["&amp;$F1975&amp;"]"</f>
        <v>[S05_InherentCarbonTransferredDetail][73][InherentCO2Received]</v>
      </c>
    </row>
    <row r="1976" spans="1:15" x14ac:dyDescent="0.3">
      <c r="A1976" t="s">
        <v>1793</v>
      </c>
      <c r="B1976" t="s">
        <v>2167</v>
      </c>
      <c r="C1976" t="s">
        <v>2169</v>
      </c>
      <c r="D1976">
        <v>74</v>
      </c>
      <c r="E1976" t="s">
        <v>1447</v>
      </c>
      <c r="F1976" t="s">
        <v>2257</v>
      </c>
      <c r="G1976" t="s">
        <v>1892</v>
      </c>
      <c r="H1976" t="s">
        <v>1799</v>
      </c>
      <c r="I1976" t="s">
        <v>1799</v>
      </c>
      <c r="J1976">
        <v>2259</v>
      </c>
      <c r="K1976" t="s">
        <v>1799</v>
      </c>
      <c r="L1976" t="s">
        <v>1799</v>
      </c>
      <c r="M1976" t="s">
        <v>1799</v>
      </c>
      <c r="N1976" t="s">
        <v>1799</v>
      </c>
      <c r="O1976" s="184" t="str">
        <f>"["&amp;$C1976&amp;"]["&amp;$D1976&amp;"]["&amp;$F1976&amp;"]"</f>
        <v>[S05_InherentCarbonTransferredDetail][74][InherentCO2Received]</v>
      </c>
    </row>
    <row r="1977" spans="1:15" x14ac:dyDescent="0.3">
      <c r="A1977" t="s">
        <v>1793</v>
      </c>
      <c r="B1977" t="s">
        <v>2167</v>
      </c>
      <c r="C1977" t="s">
        <v>2169</v>
      </c>
      <c r="D1977">
        <v>75</v>
      </c>
      <c r="E1977" t="s">
        <v>1447</v>
      </c>
      <c r="F1977" t="s">
        <v>2257</v>
      </c>
      <c r="G1977" t="s">
        <v>1892</v>
      </c>
      <c r="H1977" t="s">
        <v>1799</v>
      </c>
      <c r="I1977" t="s">
        <v>1799</v>
      </c>
      <c r="J1977">
        <v>3.4550000000000001</v>
      </c>
      <c r="K1977" t="s">
        <v>1799</v>
      </c>
      <c r="L1977" t="s">
        <v>1799</v>
      </c>
      <c r="M1977" t="s">
        <v>1799</v>
      </c>
      <c r="N1977" t="s">
        <v>1799</v>
      </c>
      <c r="O1977" s="184" t="str">
        <f>"["&amp;$C1977&amp;"]["&amp;$D1977&amp;"]["&amp;$F1977&amp;"]"</f>
        <v>[S05_InherentCarbonTransferredDetail][75][InherentCO2Received]</v>
      </c>
    </row>
    <row r="1978" spans="1:15" x14ac:dyDescent="0.3">
      <c r="A1978" t="s">
        <v>1793</v>
      </c>
      <c r="B1978" t="s">
        <v>2167</v>
      </c>
      <c r="C1978" t="s">
        <v>2169</v>
      </c>
      <c r="D1978">
        <v>76</v>
      </c>
      <c r="E1978" t="s">
        <v>1447</v>
      </c>
      <c r="F1978" t="s">
        <v>2257</v>
      </c>
      <c r="G1978" t="s">
        <v>1892</v>
      </c>
      <c r="H1978" t="s">
        <v>1799</v>
      </c>
      <c r="I1978" t="s">
        <v>1799</v>
      </c>
      <c r="J1978">
        <v>11639.196</v>
      </c>
      <c r="K1978" t="s">
        <v>1799</v>
      </c>
      <c r="L1978" t="s">
        <v>1799</v>
      </c>
      <c r="M1978" t="s">
        <v>1799</v>
      </c>
      <c r="N1978" t="s">
        <v>1799</v>
      </c>
      <c r="O1978" s="184" t="str">
        <f>"["&amp;$C1978&amp;"]["&amp;$D1978&amp;"]["&amp;$F1978&amp;"]"</f>
        <v>[S05_InherentCarbonTransferredDetail][76][InherentCO2Received]</v>
      </c>
    </row>
    <row r="1979" spans="1:15" x14ac:dyDescent="0.3">
      <c r="A1979" t="s">
        <v>1793</v>
      </c>
      <c r="B1979" t="s">
        <v>2167</v>
      </c>
      <c r="C1979" t="s">
        <v>2169</v>
      </c>
      <c r="D1979">
        <v>77</v>
      </c>
      <c r="E1979" t="s">
        <v>1447</v>
      </c>
      <c r="F1979" t="s">
        <v>2257</v>
      </c>
      <c r="G1979" t="s">
        <v>1892</v>
      </c>
      <c r="H1979" t="s">
        <v>1799</v>
      </c>
      <c r="I1979" t="s">
        <v>1799</v>
      </c>
      <c r="J1979">
        <v>8.9</v>
      </c>
      <c r="K1979" t="s">
        <v>1799</v>
      </c>
      <c r="L1979" t="s">
        <v>1799</v>
      </c>
      <c r="M1979" t="s">
        <v>1799</v>
      </c>
      <c r="N1979" t="s">
        <v>1799</v>
      </c>
      <c r="O1979" s="184" t="str">
        <f>"["&amp;$C1979&amp;"]["&amp;$D1979&amp;"]["&amp;$F1979&amp;"]"</f>
        <v>[S05_InherentCarbonTransferredDetail][77][InherentCO2Received]</v>
      </c>
    </row>
    <row r="1980" spans="1:15" x14ac:dyDescent="0.3">
      <c r="A1980" t="s">
        <v>1793</v>
      </c>
      <c r="B1980" t="s">
        <v>2167</v>
      </c>
      <c r="C1980" t="s">
        <v>2169</v>
      </c>
      <c r="D1980">
        <v>78</v>
      </c>
      <c r="E1980" t="s">
        <v>1447</v>
      </c>
      <c r="F1980" t="s">
        <v>2257</v>
      </c>
      <c r="G1980" t="s">
        <v>1892</v>
      </c>
      <c r="H1980" t="s">
        <v>1799</v>
      </c>
      <c r="I1980" t="s">
        <v>1799</v>
      </c>
      <c r="J1980">
        <v>1398.2570000000001</v>
      </c>
      <c r="K1980" t="s">
        <v>1799</v>
      </c>
      <c r="L1980" t="s">
        <v>1799</v>
      </c>
      <c r="M1980" t="s">
        <v>1799</v>
      </c>
      <c r="N1980" t="s">
        <v>1799</v>
      </c>
      <c r="O1980" s="184" t="str">
        <f>"["&amp;$C1980&amp;"]["&amp;$D1980&amp;"]["&amp;$F1980&amp;"]"</f>
        <v>[S05_InherentCarbonTransferredDetail][78][InherentCO2Received]</v>
      </c>
    </row>
    <row r="1981" spans="1:15" x14ac:dyDescent="0.3">
      <c r="A1981" t="s">
        <v>1793</v>
      </c>
      <c r="B1981" t="s">
        <v>2167</v>
      </c>
      <c r="C1981" t="s">
        <v>2169</v>
      </c>
      <c r="D1981">
        <v>79</v>
      </c>
      <c r="E1981" t="s">
        <v>1447</v>
      </c>
      <c r="F1981" t="s">
        <v>2257</v>
      </c>
      <c r="G1981" t="s">
        <v>1892</v>
      </c>
      <c r="H1981" t="s">
        <v>1799</v>
      </c>
      <c r="I1981" t="s">
        <v>1799</v>
      </c>
      <c r="J1981">
        <v>149985.35500000001</v>
      </c>
      <c r="K1981" t="s">
        <v>1799</v>
      </c>
      <c r="L1981" t="s">
        <v>1799</v>
      </c>
      <c r="M1981" t="s">
        <v>1799</v>
      </c>
      <c r="N1981" t="s">
        <v>1799</v>
      </c>
      <c r="O1981" s="184" t="str">
        <f>"["&amp;$C1981&amp;"]["&amp;$D1981&amp;"]["&amp;$F1981&amp;"]"</f>
        <v>[S05_InherentCarbonTransferredDetail][79][InherentCO2Received]</v>
      </c>
    </row>
    <row r="1982" spans="1:15" x14ac:dyDescent="0.3">
      <c r="A1982" t="s">
        <v>1793</v>
      </c>
      <c r="B1982" t="s">
        <v>2167</v>
      </c>
      <c r="C1982" t="s">
        <v>2169</v>
      </c>
      <c r="D1982">
        <v>80</v>
      </c>
      <c r="E1982" t="s">
        <v>1447</v>
      </c>
      <c r="F1982" t="s">
        <v>2257</v>
      </c>
      <c r="G1982" t="s">
        <v>1892</v>
      </c>
      <c r="H1982" t="s">
        <v>1799</v>
      </c>
      <c r="I1982" t="s">
        <v>1799</v>
      </c>
      <c r="J1982">
        <v>536789</v>
      </c>
      <c r="K1982" t="s">
        <v>1799</v>
      </c>
      <c r="L1982" t="s">
        <v>1799</v>
      </c>
      <c r="M1982" t="s">
        <v>1799</v>
      </c>
      <c r="N1982" t="s">
        <v>1799</v>
      </c>
      <c r="O1982" s="184" t="str">
        <f>"["&amp;$C1982&amp;"]["&amp;$D1982&amp;"]["&amp;$F1982&amp;"]"</f>
        <v>[S05_InherentCarbonTransferredDetail][80][InherentCO2Received]</v>
      </c>
    </row>
    <row r="1983" spans="1:15" x14ac:dyDescent="0.3">
      <c r="A1983" t="s">
        <v>1793</v>
      </c>
      <c r="B1983" t="s">
        <v>2167</v>
      </c>
      <c r="C1983" t="s">
        <v>2169</v>
      </c>
      <c r="D1983">
        <v>81</v>
      </c>
      <c r="E1983" t="s">
        <v>1447</v>
      </c>
      <c r="F1983" t="s">
        <v>2257</v>
      </c>
      <c r="G1983" t="s">
        <v>1892</v>
      </c>
      <c r="H1983" t="s">
        <v>1799</v>
      </c>
      <c r="I1983" t="s">
        <v>1799</v>
      </c>
      <c r="J1983">
        <v>27491.666000000001</v>
      </c>
      <c r="K1983" t="s">
        <v>1799</v>
      </c>
      <c r="L1983" t="s">
        <v>1799</v>
      </c>
      <c r="M1983" t="s">
        <v>1799</v>
      </c>
      <c r="N1983" t="s">
        <v>1799</v>
      </c>
      <c r="O1983" s="184" t="str">
        <f>"["&amp;$C1983&amp;"]["&amp;$D1983&amp;"]["&amp;$F1983&amp;"]"</f>
        <v>[S05_InherentCarbonTransferredDetail][81][InherentCO2Received]</v>
      </c>
    </row>
    <row r="1984" spans="1:15" x14ac:dyDescent="0.3">
      <c r="A1984" t="s">
        <v>1793</v>
      </c>
      <c r="B1984" t="s">
        <v>2167</v>
      </c>
      <c r="C1984" t="s">
        <v>2169</v>
      </c>
      <c r="D1984">
        <v>82</v>
      </c>
      <c r="E1984" t="s">
        <v>1447</v>
      </c>
      <c r="F1984" t="s">
        <v>2257</v>
      </c>
      <c r="G1984" t="s">
        <v>1892</v>
      </c>
      <c r="H1984" t="s">
        <v>1799</v>
      </c>
      <c r="I1984" t="s">
        <v>1799</v>
      </c>
      <c r="J1984">
        <v>56119.322</v>
      </c>
      <c r="K1984" t="s">
        <v>1799</v>
      </c>
      <c r="L1984" t="s">
        <v>1799</v>
      </c>
      <c r="M1984" t="s">
        <v>1799</v>
      </c>
      <c r="N1984" t="s">
        <v>1799</v>
      </c>
      <c r="O1984" s="184" t="str">
        <f>"["&amp;$C1984&amp;"]["&amp;$D1984&amp;"]["&amp;$F1984&amp;"]"</f>
        <v>[S05_InherentCarbonTransferredDetail][82][InherentCO2Received]</v>
      </c>
    </row>
    <row r="1985" spans="1:15" x14ac:dyDescent="0.3">
      <c r="A1985" t="s">
        <v>1793</v>
      </c>
      <c r="B1985" t="s">
        <v>2167</v>
      </c>
      <c r="C1985" t="s">
        <v>2169</v>
      </c>
      <c r="D1985">
        <v>5</v>
      </c>
      <c r="E1985" t="s">
        <v>1447</v>
      </c>
      <c r="F1985" t="s">
        <v>2258</v>
      </c>
      <c r="G1985" t="s">
        <v>1737</v>
      </c>
      <c r="H1985" t="s">
        <v>1799</v>
      </c>
      <c r="I1985" t="s">
        <v>1799</v>
      </c>
      <c r="J1985" t="s">
        <v>1799</v>
      </c>
      <c r="K1985" t="s">
        <v>1799</v>
      </c>
      <c r="L1985" t="s">
        <v>1607</v>
      </c>
      <c r="M1985" t="s">
        <v>1799</v>
      </c>
      <c r="N1985" t="s">
        <v>1799</v>
      </c>
      <c r="O1985" s="184" t="str">
        <f>"["&amp;$C1985&amp;"]["&amp;$D1985&amp;"]["&amp;$F1985&amp;"]"</f>
        <v>[S05_InherentCarbonTransferredDetail][5][ReceivingInstallationType]</v>
      </c>
    </row>
    <row r="1986" spans="1:15" x14ac:dyDescent="0.3">
      <c r="A1986" t="s">
        <v>1793</v>
      </c>
      <c r="B1986" t="s">
        <v>2167</v>
      </c>
      <c r="C1986" t="s">
        <v>2169</v>
      </c>
      <c r="D1986">
        <v>6</v>
      </c>
      <c r="E1986" t="s">
        <v>1447</v>
      </c>
      <c r="F1986" t="s">
        <v>2258</v>
      </c>
      <c r="G1986" t="s">
        <v>1737</v>
      </c>
      <c r="H1986" t="s">
        <v>1799</v>
      </c>
      <c r="I1986" t="s">
        <v>1799</v>
      </c>
      <c r="J1986" t="s">
        <v>1799</v>
      </c>
      <c r="K1986" t="s">
        <v>1799</v>
      </c>
      <c r="L1986" t="s">
        <v>1607</v>
      </c>
      <c r="M1986" t="s">
        <v>1799</v>
      </c>
      <c r="N1986" t="s">
        <v>1799</v>
      </c>
      <c r="O1986" s="184" t="str">
        <f>"["&amp;$C1986&amp;"]["&amp;$D1986&amp;"]["&amp;$F1986&amp;"]"</f>
        <v>[S05_InherentCarbonTransferredDetail][6][ReceivingInstallationType]</v>
      </c>
    </row>
    <row r="1987" spans="1:15" x14ac:dyDescent="0.3">
      <c r="A1987" t="s">
        <v>1793</v>
      </c>
      <c r="B1987" t="s">
        <v>2167</v>
      </c>
      <c r="C1987" t="s">
        <v>2169</v>
      </c>
      <c r="D1987">
        <v>7</v>
      </c>
      <c r="E1987" t="s">
        <v>1447</v>
      </c>
      <c r="F1987" t="s">
        <v>2258</v>
      </c>
      <c r="G1987" t="s">
        <v>1737</v>
      </c>
      <c r="H1987" t="s">
        <v>1799</v>
      </c>
      <c r="I1987" t="s">
        <v>1799</v>
      </c>
      <c r="J1987" t="s">
        <v>1799</v>
      </c>
      <c r="K1987" t="s">
        <v>1799</v>
      </c>
      <c r="L1987" t="s">
        <v>1420</v>
      </c>
      <c r="M1987" t="s">
        <v>1799</v>
      </c>
      <c r="N1987" t="s">
        <v>1799</v>
      </c>
      <c r="O1987" s="184" t="str">
        <f>"["&amp;$C1987&amp;"]["&amp;$D1987&amp;"]["&amp;$F1987&amp;"]"</f>
        <v>[S05_InherentCarbonTransferredDetail][7][ReceivingInstallationType]</v>
      </c>
    </row>
    <row r="1988" spans="1:15" x14ac:dyDescent="0.3">
      <c r="A1988" t="s">
        <v>1793</v>
      </c>
      <c r="B1988" t="s">
        <v>2167</v>
      </c>
      <c r="C1988" t="s">
        <v>2169</v>
      </c>
      <c r="D1988">
        <v>8</v>
      </c>
      <c r="E1988" t="s">
        <v>1447</v>
      </c>
      <c r="F1988" t="s">
        <v>2258</v>
      </c>
      <c r="G1988" t="s">
        <v>1737</v>
      </c>
      <c r="H1988" t="s">
        <v>1799</v>
      </c>
      <c r="I1988" t="s">
        <v>1799</v>
      </c>
      <c r="J1988" t="s">
        <v>1799</v>
      </c>
      <c r="K1988" t="s">
        <v>1799</v>
      </c>
      <c r="L1988" t="s">
        <v>1420</v>
      </c>
      <c r="M1988" t="s">
        <v>1799</v>
      </c>
      <c r="N1988" t="s">
        <v>1799</v>
      </c>
      <c r="O1988" s="184" t="str">
        <f>"["&amp;$C1988&amp;"]["&amp;$D1988&amp;"]["&amp;$F1988&amp;"]"</f>
        <v>[S05_InherentCarbonTransferredDetail][8][ReceivingInstallationType]</v>
      </c>
    </row>
    <row r="1989" spans="1:15" x14ac:dyDescent="0.3">
      <c r="A1989" t="s">
        <v>1793</v>
      </c>
      <c r="B1989" t="s">
        <v>2167</v>
      </c>
      <c r="C1989" t="s">
        <v>2169</v>
      </c>
      <c r="D1989">
        <v>9</v>
      </c>
      <c r="E1989" t="s">
        <v>1447</v>
      </c>
      <c r="F1989" t="s">
        <v>2258</v>
      </c>
      <c r="G1989" t="s">
        <v>1737</v>
      </c>
      <c r="H1989" t="s">
        <v>1799</v>
      </c>
      <c r="I1989" t="s">
        <v>1799</v>
      </c>
      <c r="J1989" t="s">
        <v>1799</v>
      </c>
      <c r="K1989" t="s">
        <v>1799</v>
      </c>
      <c r="L1989" t="s">
        <v>1631</v>
      </c>
      <c r="M1989" t="s">
        <v>1799</v>
      </c>
      <c r="N1989" t="s">
        <v>1799</v>
      </c>
      <c r="O1989" s="184" t="str">
        <f>"["&amp;$C1989&amp;"]["&amp;$D1989&amp;"]["&amp;$F1989&amp;"]"</f>
        <v>[S05_InherentCarbonTransferredDetail][9][ReceivingInstallationType]</v>
      </c>
    </row>
    <row r="1990" spans="1:15" x14ac:dyDescent="0.3">
      <c r="A1990" t="s">
        <v>1793</v>
      </c>
      <c r="B1990" t="s">
        <v>2167</v>
      </c>
      <c r="C1990" t="s">
        <v>2169</v>
      </c>
      <c r="D1990">
        <v>10</v>
      </c>
      <c r="E1990" t="s">
        <v>1447</v>
      </c>
      <c r="F1990" t="s">
        <v>2258</v>
      </c>
      <c r="G1990" t="s">
        <v>1737</v>
      </c>
      <c r="H1990" t="s">
        <v>1799</v>
      </c>
      <c r="I1990" t="s">
        <v>1799</v>
      </c>
      <c r="J1990" t="s">
        <v>1799</v>
      </c>
      <c r="K1990" t="s">
        <v>1799</v>
      </c>
      <c r="L1990" t="s">
        <v>1631</v>
      </c>
      <c r="M1990" t="s">
        <v>1799</v>
      </c>
      <c r="N1990" t="s">
        <v>1799</v>
      </c>
      <c r="O1990" s="184" t="str">
        <f>"["&amp;$C1990&amp;"]["&amp;$D1990&amp;"]["&amp;$F1990&amp;"]"</f>
        <v>[S05_InherentCarbonTransferredDetail][10][ReceivingInstallationType]</v>
      </c>
    </row>
    <row r="1991" spans="1:15" x14ac:dyDescent="0.3">
      <c r="A1991" t="s">
        <v>1793</v>
      </c>
      <c r="B1991" t="s">
        <v>2167</v>
      </c>
      <c r="C1991" t="s">
        <v>2169</v>
      </c>
      <c r="D1991">
        <v>11</v>
      </c>
      <c r="E1991" t="s">
        <v>1447</v>
      </c>
      <c r="F1991" t="s">
        <v>2258</v>
      </c>
      <c r="G1991" t="s">
        <v>1737</v>
      </c>
      <c r="H1991" t="s">
        <v>1799</v>
      </c>
      <c r="I1991" t="s">
        <v>1799</v>
      </c>
      <c r="J1991" t="s">
        <v>1799</v>
      </c>
      <c r="K1991" t="s">
        <v>1799</v>
      </c>
      <c r="L1991" t="s">
        <v>1530</v>
      </c>
      <c r="M1991" t="s">
        <v>1799</v>
      </c>
      <c r="N1991" t="s">
        <v>1799</v>
      </c>
      <c r="O1991" s="184" t="str">
        <f>"["&amp;$C1991&amp;"]["&amp;$D1991&amp;"]["&amp;$F1991&amp;"]"</f>
        <v>[S05_InherentCarbonTransferredDetail][11][ReceivingInstallationType]</v>
      </c>
    </row>
    <row r="1992" spans="1:15" x14ac:dyDescent="0.3">
      <c r="A1992" t="s">
        <v>1793</v>
      </c>
      <c r="B1992" t="s">
        <v>2167</v>
      </c>
      <c r="C1992" t="s">
        <v>2169</v>
      </c>
      <c r="D1992">
        <v>12</v>
      </c>
      <c r="E1992" t="s">
        <v>1447</v>
      </c>
      <c r="F1992" t="s">
        <v>2258</v>
      </c>
      <c r="G1992" t="s">
        <v>1737</v>
      </c>
      <c r="H1992" t="s">
        <v>1799</v>
      </c>
      <c r="I1992" t="s">
        <v>1799</v>
      </c>
      <c r="J1992" t="s">
        <v>1799</v>
      </c>
      <c r="K1992" t="s">
        <v>1799</v>
      </c>
      <c r="L1992" t="s">
        <v>1420</v>
      </c>
      <c r="M1992" t="s">
        <v>1799</v>
      </c>
      <c r="N1992" t="s">
        <v>1799</v>
      </c>
      <c r="O1992" s="184" t="str">
        <f>"["&amp;$C1992&amp;"]["&amp;$D1992&amp;"]["&amp;$F1992&amp;"]"</f>
        <v>[S05_InherentCarbonTransferredDetail][12][ReceivingInstallationType]</v>
      </c>
    </row>
    <row r="1993" spans="1:15" x14ac:dyDescent="0.3">
      <c r="A1993" t="s">
        <v>1793</v>
      </c>
      <c r="B1993" t="s">
        <v>2167</v>
      </c>
      <c r="C1993" t="s">
        <v>2169</v>
      </c>
      <c r="D1993">
        <v>13</v>
      </c>
      <c r="E1993" t="s">
        <v>1447</v>
      </c>
      <c r="F1993" t="s">
        <v>2258</v>
      </c>
      <c r="G1993" t="s">
        <v>1737</v>
      </c>
      <c r="H1993" t="s">
        <v>1799</v>
      </c>
      <c r="I1993" t="s">
        <v>1799</v>
      </c>
      <c r="J1993" t="s">
        <v>1799</v>
      </c>
      <c r="K1993" t="s">
        <v>1799</v>
      </c>
      <c r="L1993" t="s">
        <v>1448</v>
      </c>
      <c r="M1993" t="s">
        <v>1799</v>
      </c>
      <c r="N1993" t="s">
        <v>1799</v>
      </c>
      <c r="O1993" s="184" t="str">
        <f>"["&amp;$C1993&amp;"]["&amp;$D1993&amp;"]["&amp;$F1993&amp;"]"</f>
        <v>[S05_InherentCarbonTransferredDetail][13][ReceivingInstallationType]</v>
      </c>
    </row>
    <row r="1994" spans="1:15" x14ac:dyDescent="0.3">
      <c r="A1994" t="s">
        <v>1793</v>
      </c>
      <c r="B1994" t="s">
        <v>2167</v>
      </c>
      <c r="C1994" t="s">
        <v>2169</v>
      </c>
      <c r="D1994">
        <v>14</v>
      </c>
      <c r="E1994" t="s">
        <v>1447</v>
      </c>
      <c r="F1994" t="s">
        <v>2258</v>
      </c>
      <c r="G1994" t="s">
        <v>1737</v>
      </c>
      <c r="H1994" t="s">
        <v>1799</v>
      </c>
      <c r="I1994" t="s">
        <v>1799</v>
      </c>
      <c r="J1994" t="s">
        <v>1799</v>
      </c>
      <c r="K1994" t="s">
        <v>1799</v>
      </c>
      <c r="L1994" t="s">
        <v>1448</v>
      </c>
      <c r="M1994" t="s">
        <v>1799</v>
      </c>
      <c r="N1994" t="s">
        <v>1799</v>
      </c>
      <c r="O1994" s="184" t="str">
        <f>"["&amp;$C1994&amp;"]["&amp;$D1994&amp;"]["&amp;$F1994&amp;"]"</f>
        <v>[S05_InherentCarbonTransferredDetail][14][ReceivingInstallationType]</v>
      </c>
    </row>
    <row r="1995" spans="1:15" x14ac:dyDescent="0.3">
      <c r="A1995" t="s">
        <v>1793</v>
      </c>
      <c r="B1995" t="s">
        <v>2167</v>
      </c>
      <c r="C1995" t="s">
        <v>2169</v>
      </c>
      <c r="D1995">
        <v>15</v>
      </c>
      <c r="E1995" t="s">
        <v>1447</v>
      </c>
      <c r="F1995" t="s">
        <v>2258</v>
      </c>
      <c r="G1995" t="s">
        <v>1737</v>
      </c>
      <c r="H1995" t="s">
        <v>1799</v>
      </c>
      <c r="I1995" t="s">
        <v>1799</v>
      </c>
      <c r="J1995" t="s">
        <v>1799</v>
      </c>
      <c r="K1995" t="s">
        <v>1799</v>
      </c>
      <c r="L1995" t="s">
        <v>1420</v>
      </c>
      <c r="M1995" t="s">
        <v>1799</v>
      </c>
      <c r="N1995" t="s">
        <v>1799</v>
      </c>
      <c r="O1995" s="184" t="str">
        <f>"["&amp;$C1995&amp;"]["&amp;$D1995&amp;"]["&amp;$F1995&amp;"]"</f>
        <v>[S05_InherentCarbonTransferredDetail][15][ReceivingInstallationType]</v>
      </c>
    </row>
    <row r="1996" spans="1:15" x14ac:dyDescent="0.3">
      <c r="A1996" t="s">
        <v>1793</v>
      </c>
      <c r="B1996" t="s">
        <v>2167</v>
      </c>
      <c r="C1996" t="s">
        <v>2169</v>
      </c>
      <c r="D1996">
        <v>16</v>
      </c>
      <c r="E1996" t="s">
        <v>1447</v>
      </c>
      <c r="F1996" t="s">
        <v>2258</v>
      </c>
      <c r="G1996" t="s">
        <v>1737</v>
      </c>
      <c r="H1996" t="s">
        <v>1799</v>
      </c>
      <c r="I1996" t="s">
        <v>1799</v>
      </c>
      <c r="J1996" t="s">
        <v>1799</v>
      </c>
      <c r="K1996" t="s">
        <v>1799</v>
      </c>
      <c r="L1996" t="s">
        <v>1420</v>
      </c>
      <c r="M1996" t="s">
        <v>1799</v>
      </c>
      <c r="N1996" t="s">
        <v>1799</v>
      </c>
      <c r="O1996" s="184" t="str">
        <f>"["&amp;$C1996&amp;"]["&amp;$D1996&amp;"]["&amp;$F1996&amp;"]"</f>
        <v>[S05_InherentCarbonTransferredDetail][16][ReceivingInstallationType]</v>
      </c>
    </row>
    <row r="1997" spans="1:15" x14ac:dyDescent="0.3">
      <c r="A1997" t="s">
        <v>1793</v>
      </c>
      <c r="B1997" t="s">
        <v>2167</v>
      </c>
      <c r="C1997" t="s">
        <v>2169</v>
      </c>
      <c r="D1997">
        <v>17</v>
      </c>
      <c r="E1997" t="s">
        <v>1447</v>
      </c>
      <c r="F1997" t="s">
        <v>2258</v>
      </c>
      <c r="G1997" t="s">
        <v>1737</v>
      </c>
      <c r="H1997" t="s">
        <v>1799</v>
      </c>
      <c r="I1997" t="s">
        <v>1799</v>
      </c>
      <c r="J1997" t="s">
        <v>1799</v>
      </c>
      <c r="K1997" t="s">
        <v>1799</v>
      </c>
      <c r="L1997" t="s">
        <v>1518</v>
      </c>
      <c r="M1997" t="s">
        <v>1799</v>
      </c>
      <c r="N1997" t="s">
        <v>1799</v>
      </c>
      <c r="O1997" s="184" t="str">
        <f>"["&amp;$C1997&amp;"]["&amp;$D1997&amp;"]["&amp;$F1997&amp;"]"</f>
        <v>[S05_InherentCarbonTransferredDetail][17][ReceivingInstallationType]</v>
      </c>
    </row>
    <row r="1998" spans="1:15" x14ac:dyDescent="0.3">
      <c r="A1998" t="s">
        <v>1793</v>
      </c>
      <c r="B1998" t="s">
        <v>2167</v>
      </c>
      <c r="C1998" t="s">
        <v>2169</v>
      </c>
      <c r="D1998">
        <v>18</v>
      </c>
      <c r="E1998" t="s">
        <v>1447</v>
      </c>
      <c r="F1998" t="s">
        <v>2258</v>
      </c>
      <c r="G1998" t="s">
        <v>1737</v>
      </c>
      <c r="H1998" t="s">
        <v>1799</v>
      </c>
      <c r="I1998" t="s">
        <v>1799</v>
      </c>
      <c r="J1998" t="s">
        <v>1799</v>
      </c>
      <c r="K1998" t="s">
        <v>1799</v>
      </c>
      <c r="L1998" t="s">
        <v>1518</v>
      </c>
      <c r="M1998" t="s">
        <v>1799</v>
      </c>
      <c r="N1998" t="s">
        <v>1799</v>
      </c>
      <c r="O1998" s="184" t="str">
        <f>"["&amp;$C1998&amp;"]["&amp;$D1998&amp;"]["&amp;$F1998&amp;"]"</f>
        <v>[S05_InherentCarbonTransferredDetail][18][ReceivingInstallationType]</v>
      </c>
    </row>
    <row r="1999" spans="1:15" x14ac:dyDescent="0.3">
      <c r="A1999" t="s">
        <v>1793</v>
      </c>
      <c r="B1999" t="s">
        <v>2167</v>
      </c>
      <c r="C1999" t="s">
        <v>2169</v>
      </c>
      <c r="D1999">
        <v>19</v>
      </c>
      <c r="E1999" t="s">
        <v>1447</v>
      </c>
      <c r="F1999" t="s">
        <v>2258</v>
      </c>
      <c r="G1999" t="s">
        <v>1737</v>
      </c>
      <c r="H1999" t="s">
        <v>1799</v>
      </c>
      <c r="I1999" t="s">
        <v>1799</v>
      </c>
      <c r="J1999" t="s">
        <v>1799</v>
      </c>
      <c r="K1999" t="s">
        <v>1799</v>
      </c>
      <c r="L1999" t="s">
        <v>1518</v>
      </c>
      <c r="M1999" t="s">
        <v>1799</v>
      </c>
      <c r="N1999" t="s">
        <v>1799</v>
      </c>
      <c r="O1999" s="184" t="str">
        <f>"["&amp;$C1999&amp;"]["&amp;$D1999&amp;"]["&amp;$F1999&amp;"]"</f>
        <v>[S05_InherentCarbonTransferredDetail][19][ReceivingInstallationType]</v>
      </c>
    </row>
    <row r="2000" spans="1:15" x14ac:dyDescent="0.3">
      <c r="A2000" t="s">
        <v>1793</v>
      </c>
      <c r="B2000" t="s">
        <v>2167</v>
      </c>
      <c r="C2000" t="s">
        <v>2169</v>
      </c>
      <c r="D2000">
        <v>20</v>
      </c>
      <c r="E2000" t="s">
        <v>1447</v>
      </c>
      <c r="F2000" t="s">
        <v>2258</v>
      </c>
      <c r="G2000" t="s">
        <v>1737</v>
      </c>
      <c r="H2000" t="s">
        <v>1799</v>
      </c>
      <c r="I2000" t="s">
        <v>1799</v>
      </c>
      <c r="J2000" t="s">
        <v>1799</v>
      </c>
      <c r="K2000" t="s">
        <v>1799</v>
      </c>
      <c r="L2000" t="s">
        <v>1518</v>
      </c>
      <c r="M2000" t="s">
        <v>1799</v>
      </c>
      <c r="N2000" t="s">
        <v>1799</v>
      </c>
      <c r="O2000" s="184" t="str">
        <f>"["&amp;$C2000&amp;"]["&amp;$D2000&amp;"]["&amp;$F2000&amp;"]"</f>
        <v>[S05_InherentCarbonTransferredDetail][20][ReceivingInstallationType]</v>
      </c>
    </row>
    <row r="2001" spans="1:15" x14ac:dyDescent="0.3">
      <c r="A2001" t="s">
        <v>1793</v>
      </c>
      <c r="B2001" t="s">
        <v>2167</v>
      </c>
      <c r="C2001" t="s">
        <v>2169</v>
      </c>
      <c r="D2001">
        <v>21</v>
      </c>
      <c r="E2001" t="s">
        <v>1447</v>
      </c>
      <c r="F2001" t="s">
        <v>2258</v>
      </c>
      <c r="G2001" t="s">
        <v>1737</v>
      </c>
      <c r="H2001" t="s">
        <v>1799</v>
      </c>
      <c r="I2001" t="s">
        <v>1799</v>
      </c>
      <c r="J2001" t="s">
        <v>1799</v>
      </c>
      <c r="K2001" t="s">
        <v>1799</v>
      </c>
      <c r="L2001" t="s">
        <v>1530</v>
      </c>
      <c r="M2001" t="s">
        <v>1799</v>
      </c>
      <c r="N2001" t="s">
        <v>1799</v>
      </c>
      <c r="O2001" s="184" t="str">
        <f>"["&amp;$C2001&amp;"]["&amp;$D2001&amp;"]["&amp;$F2001&amp;"]"</f>
        <v>[S05_InherentCarbonTransferredDetail][21][ReceivingInstallationType]</v>
      </c>
    </row>
    <row r="2002" spans="1:15" x14ac:dyDescent="0.3">
      <c r="A2002" t="s">
        <v>1793</v>
      </c>
      <c r="B2002" t="s">
        <v>2167</v>
      </c>
      <c r="C2002" t="s">
        <v>2169</v>
      </c>
      <c r="D2002">
        <v>22</v>
      </c>
      <c r="E2002" t="s">
        <v>1447</v>
      </c>
      <c r="F2002" t="s">
        <v>2258</v>
      </c>
      <c r="G2002" t="s">
        <v>1737</v>
      </c>
      <c r="H2002" t="s">
        <v>1799</v>
      </c>
      <c r="I2002" t="s">
        <v>1799</v>
      </c>
      <c r="J2002" t="s">
        <v>1799</v>
      </c>
      <c r="K2002" t="s">
        <v>1799</v>
      </c>
      <c r="L2002" t="s">
        <v>1530</v>
      </c>
      <c r="M2002" t="s">
        <v>1799</v>
      </c>
      <c r="N2002" t="s">
        <v>1799</v>
      </c>
      <c r="O2002" s="184" t="str">
        <f>"["&amp;$C2002&amp;"]["&amp;$D2002&amp;"]["&amp;$F2002&amp;"]"</f>
        <v>[S05_InherentCarbonTransferredDetail][22][ReceivingInstallationType]</v>
      </c>
    </row>
    <row r="2003" spans="1:15" x14ac:dyDescent="0.3">
      <c r="A2003" t="s">
        <v>1793</v>
      </c>
      <c r="B2003" t="s">
        <v>2167</v>
      </c>
      <c r="C2003" t="s">
        <v>2169</v>
      </c>
      <c r="D2003">
        <v>23</v>
      </c>
      <c r="E2003" t="s">
        <v>1447</v>
      </c>
      <c r="F2003" t="s">
        <v>2258</v>
      </c>
      <c r="G2003" t="s">
        <v>1737</v>
      </c>
      <c r="H2003" t="s">
        <v>1799</v>
      </c>
      <c r="I2003" t="s">
        <v>1799</v>
      </c>
      <c r="J2003" t="s">
        <v>1799</v>
      </c>
      <c r="K2003" t="s">
        <v>1799</v>
      </c>
      <c r="L2003" t="s">
        <v>1530</v>
      </c>
      <c r="M2003" t="s">
        <v>1799</v>
      </c>
      <c r="N2003" t="s">
        <v>1799</v>
      </c>
      <c r="O2003" s="184" t="str">
        <f>"["&amp;$C2003&amp;"]["&amp;$D2003&amp;"]["&amp;$F2003&amp;"]"</f>
        <v>[S05_InherentCarbonTransferredDetail][23][ReceivingInstallationType]</v>
      </c>
    </row>
    <row r="2004" spans="1:15" x14ac:dyDescent="0.3">
      <c r="A2004" t="s">
        <v>1793</v>
      </c>
      <c r="B2004" t="s">
        <v>2167</v>
      </c>
      <c r="C2004" t="s">
        <v>2169</v>
      </c>
      <c r="D2004">
        <v>24</v>
      </c>
      <c r="E2004" t="s">
        <v>1447</v>
      </c>
      <c r="F2004" t="s">
        <v>2258</v>
      </c>
      <c r="G2004" t="s">
        <v>1737</v>
      </c>
      <c r="H2004" t="s">
        <v>1799</v>
      </c>
      <c r="I2004" t="s">
        <v>1799</v>
      </c>
      <c r="J2004" t="s">
        <v>1799</v>
      </c>
      <c r="K2004" t="s">
        <v>1799</v>
      </c>
      <c r="L2004" t="s">
        <v>1530</v>
      </c>
      <c r="M2004" t="s">
        <v>1799</v>
      </c>
      <c r="N2004" t="s">
        <v>1799</v>
      </c>
      <c r="O2004" s="184" t="str">
        <f>"["&amp;$C2004&amp;"]["&amp;$D2004&amp;"]["&amp;$F2004&amp;"]"</f>
        <v>[S05_InherentCarbonTransferredDetail][24][ReceivingInstallationType]</v>
      </c>
    </row>
    <row r="2005" spans="1:15" x14ac:dyDescent="0.3">
      <c r="A2005" t="s">
        <v>1793</v>
      </c>
      <c r="B2005" t="s">
        <v>2167</v>
      </c>
      <c r="C2005" t="s">
        <v>2169</v>
      </c>
      <c r="D2005">
        <v>25</v>
      </c>
      <c r="E2005" t="s">
        <v>1447</v>
      </c>
      <c r="F2005" t="s">
        <v>2258</v>
      </c>
      <c r="G2005" t="s">
        <v>1737</v>
      </c>
      <c r="H2005" t="s">
        <v>1799</v>
      </c>
      <c r="I2005" t="s">
        <v>1799</v>
      </c>
      <c r="J2005" t="s">
        <v>1799</v>
      </c>
      <c r="K2005" t="s">
        <v>1799</v>
      </c>
      <c r="L2005" t="s">
        <v>1530</v>
      </c>
      <c r="M2005" t="s">
        <v>1799</v>
      </c>
      <c r="N2005" t="s">
        <v>1799</v>
      </c>
      <c r="O2005" s="184" t="str">
        <f>"["&amp;$C2005&amp;"]["&amp;$D2005&amp;"]["&amp;$F2005&amp;"]"</f>
        <v>[S05_InherentCarbonTransferredDetail][25][ReceivingInstallationType]</v>
      </c>
    </row>
    <row r="2006" spans="1:15" x14ac:dyDescent="0.3">
      <c r="A2006" t="s">
        <v>1793</v>
      </c>
      <c r="B2006" t="s">
        <v>2167</v>
      </c>
      <c r="C2006" t="s">
        <v>2169</v>
      </c>
      <c r="D2006">
        <v>26</v>
      </c>
      <c r="E2006" t="s">
        <v>1447</v>
      </c>
      <c r="F2006" t="s">
        <v>2258</v>
      </c>
      <c r="G2006" t="s">
        <v>1737</v>
      </c>
      <c r="H2006" t="s">
        <v>1799</v>
      </c>
      <c r="I2006" t="s">
        <v>1799</v>
      </c>
      <c r="J2006" t="s">
        <v>1799</v>
      </c>
      <c r="K2006" t="s">
        <v>1799</v>
      </c>
      <c r="L2006" t="s">
        <v>1530</v>
      </c>
      <c r="M2006" t="s">
        <v>1799</v>
      </c>
      <c r="N2006" t="s">
        <v>1799</v>
      </c>
      <c r="O2006" s="184" t="str">
        <f>"["&amp;$C2006&amp;"]["&amp;$D2006&amp;"]["&amp;$F2006&amp;"]"</f>
        <v>[S05_InherentCarbonTransferredDetail][26][ReceivingInstallationType]</v>
      </c>
    </row>
    <row r="2007" spans="1:15" x14ac:dyDescent="0.3">
      <c r="A2007" t="s">
        <v>1793</v>
      </c>
      <c r="B2007" t="s">
        <v>2167</v>
      </c>
      <c r="C2007" t="s">
        <v>2169</v>
      </c>
      <c r="D2007">
        <v>27</v>
      </c>
      <c r="E2007" t="s">
        <v>1447</v>
      </c>
      <c r="F2007" t="s">
        <v>2258</v>
      </c>
      <c r="G2007" t="s">
        <v>1737</v>
      </c>
      <c r="H2007" t="s">
        <v>1799</v>
      </c>
      <c r="I2007" t="s">
        <v>1799</v>
      </c>
      <c r="J2007" t="s">
        <v>1799</v>
      </c>
      <c r="K2007" t="s">
        <v>1799</v>
      </c>
      <c r="L2007" t="s">
        <v>1530</v>
      </c>
      <c r="M2007" t="s">
        <v>1799</v>
      </c>
      <c r="N2007" t="s">
        <v>1799</v>
      </c>
      <c r="O2007" s="184" t="str">
        <f>"["&amp;$C2007&amp;"]["&amp;$D2007&amp;"]["&amp;$F2007&amp;"]"</f>
        <v>[S05_InherentCarbonTransferredDetail][27][ReceivingInstallationType]</v>
      </c>
    </row>
    <row r="2008" spans="1:15" x14ac:dyDescent="0.3">
      <c r="A2008" t="s">
        <v>1793</v>
      </c>
      <c r="B2008" t="s">
        <v>2167</v>
      </c>
      <c r="C2008" t="s">
        <v>2169</v>
      </c>
      <c r="D2008">
        <v>28</v>
      </c>
      <c r="E2008" t="s">
        <v>1447</v>
      </c>
      <c r="F2008" t="s">
        <v>2258</v>
      </c>
      <c r="G2008" t="s">
        <v>1737</v>
      </c>
      <c r="H2008" t="s">
        <v>1799</v>
      </c>
      <c r="I2008" t="s">
        <v>1799</v>
      </c>
      <c r="J2008" t="s">
        <v>1799</v>
      </c>
      <c r="K2008" t="s">
        <v>1799</v>
      </c>
      <c r="L2008" t="s">
        <v>1420</v>
      </c>
      <c r="M2008" t="s">
        <v>1799</v>
      </c>
      <c r="N2008" t="s">
        <v>1799</v>
      </c>
      <c r="O2008" s="184" t="str">
        <f>"["&amp;$C2008&amp;"]["&amp;$D2008&amp;"]["&amp;$F2008&amp;"]"</f>
        <v>[S05_InherentCarbonTransferredDetail][28][ReceivingInstallationType]</v>
      </c>
    </row>
    <row r="2009" spans="1:15" x14ac:dyDescent="0.3">
      <c r="A2009" t="s">
        <v>1793</v>
      </c>
      <c r="B2009" t="s">
        <v>2167</v>
      </c>
      <c r="C2009" t="s">
        <v>2169</v>
      </c>
      <c r="D2009">
        <v>29</v>
      </c>
      <c r="E2009" t="s">
        <v>1447</v>
      </c>
      <c r="F2009" t="s">
        <v>2258</v>
      </c>
      <c r="G2009" t="s">
        <v>1737</v>
      </c>
      <c r="H2009" t="s">
        <v>1799</v>
      </c>
      <c r="I2009" t="s">
        <v>1799</v>
      </c>
      <c r="J2009" t="s">
        <v>1799</v>
      </c>
      <c r="K2009" t="s">
        <v>1799</v>
      </c>
      <c r="L2009" t="s">
        <v>1420</v>
      </c>
      <c r="M2009" t="s">
        <v>1799</v>
      </c>
      <c r="N2009" t="s">
        <v>1799</v>
      </c>
      <c r="O2009" s="184" t="str">
        <f>"["&amp;$C2009&amp;"]["&amp;$D2009&amp;"]["&amp;$F2009&amp;"]"</f>
        <v>[S05_InherentCarbonTransferredDetail][29][ReceivingInstallationType]</v>
      </c>
    </row>
    <row r="2010" spans="1:15" x14ac:dyDescent="0.3">
      <c r="A2010" t="s">
        <v>1793</v>
      </c>
      <c r="B2010" t="s">
        <v>2167</v>
      </c>
      <c r="C2010" t="s">
        <v>2169</v>
      </c>
      <c r="D2010">
        <v>30</v>
      </c>
      <c r="E2010" t="s">
        <v>1447</v>
      </c>
      <c r="F2010" t="s">
        <v>2258</v>
      </c>
      <c r="G2010" t="s">
        <v>1737</v>
      </c>
      <c r="H2010" t="s">
        <v>1799</v>
      </c>
      <c r="I2010" t="s">
        <v>1799</v>
      </c>
      <c r="J2010" t="s">
        <v>1799</v>
      </c>
      <c r="K2010" t="s">
        <v>1799</v>
      </c>
      <c r="L2010" t="s">
        <v>1420</v>
      </c>
      <c r="M2010" t="s">
        <v>1799</v>
      </c>
      <c r="N2010" t="s">
        <v>1799</v>
      </c>
      <c r="O2010" s="184" t="str">
        <f>"["&amp;$C2010&amp;"]["&amp;$D2010&amp;"]["&amp;$F2010&amp;"]"</f>
        <v>[S05_InherentCarbonTransferredDetail][30][ReceivingInstallationType]</v>
      </c>
    </row>
    <row r="2011" spans="1:15" x14ac:dyDescent="0.3">
      <c r="A2011" t="s">
        <v>1793</v>
      </c>
      <c r="B2011" t="s">
        <v>2167</v>
      </c>
      <c r="C2011" t="s">
        <v>2169</v>
      </c>
      <c r="D2011">
        <v>31</v>
      </c>
      <c r="E2011" t="s">
        <v>1447</v>
      </c>
      <c r="F2011" t="s">
        <v>2258</v>
      </c>
      <c r="G2011" t="s">
        <v>1737</v>
      </c>
      <c r="H2011" t="s">
        <v>1799</v>
      </c>
      <c r="I2011" t="s">
        <v>1799</v>
      </c>
      <c r="J2011" t="s">
        <v>1799</v>
      </c>
      <c r="K2011" t="s">
        <v>1799</v>
      </c>
      <c r="L2011" t="s">
        <v>1420</v>
      </c>
      <c r="M2011" t="s">
        <v>1799</v>
      </c>
      <c r="N2011" t="s">
        <v>1799</v>
      </c>
      <c r="O2011" s="184" t="str">
        <f>"["&amp;$C2011&amp;"]["&amp;$D2011&amp;"]["&amp;$F2011&amp;"]"</f>
        <v>[S05_InherentCarbonTransferredDetail][31][ReceivingInstallationType]</v>
      </c>
    </row>
    <row r="2012" spans="1:15" x14ac:dyDescent="0.3">
      <c r="A2012" t="s">
        <v>1793</v>
      </c>
      <c r="B2012" t="s">
        <v>2167</v>
      </c>
      <c r="C2012" t="s">
        <v>2169</v>
      </c>
      <c r="D2012">
        <v>32</v>
      </c>
      <c r="E2012" t="s">
        <v>1447</v>
      </c>
      <c r="F2012" t="s">
        <v>2258</v>
      </c>
      <c r="G2012" t="s">
        <v>1737</v>
      </c>
      <c r="H2012" t="s">
        <v>1799</v>
      </c>
      <c r="I2012" t="s">
        <v>1799</v>
      </c>
      <c r="J2012" t="s">
        <v>1799</v>
      </c>
      <c r="K2012" t="s">
        <v>1799</v>
      </c>
      <c r="L2012" t="s">
        <v>1420</v>
      </c>
      <c r="M2012" t="s">
        <v>1799</v>
      </c>
      <c r="N2012" t="s">
        <v>1799</v>
      </c>
      <c r="O2012" s="184" t="str">
        <f>"["&amp;$C2012&amp;"]["&amp;$D2012&amp;"]["&amp;$F2012&amp;"]"</f>
        <v>[S05_InherentCarbonTransferredDetail][32][ReceivingInstallationType]</v>
      </c>
    </row>
    <row r="2013" spans="1:15" x14ac:dyDescent="0.3">
      <c r="A2013" t="s">
        <v>1793</v>
      </c>
      <c r="B2013" t="s">
        <v>2167</v>
      </c>
      <c r="C2013" t="s">
        <v>2169</v>
      </c>
      <c r="D2013">
        <v>33</v>
      </c>
      <c r="E2013" t="s">
        <v>1447</v>
      </c>
      <c r="F2013" t="s">
        <v>2258</v>
      </c>
      <c r="G2013" t="s">
        <v>1737</v>
      </c>
      <c r="H2013" t="s">
        <v>1799</v>
      </c>
      <c r="I2013" t="s">
        <v>1799</v>
      </c>
      <c r="J2013" t="s">
        <v>1799</v>
      </c>
      <c r="K2013" t="s">
        <v>1799</v>
      </c>
      <c r="L2013" t="s">
        <v>1420</v>
      </c>
      <c r="M2013" t="s">
        <v>1799</v>
      </c>
      <c r="N2013" t="s">
        <v>1799</v>
      </c>
      <c r="O2013" s="184" t="str">
        <f>"["&amp;$C2013&amp;"]["&amp;$D2013&amp;"]["&amp;$F2013&amp;"]"</f>
        <v>[S05_InherentCarbonTransferredDetail][33][ReceivingInstallationType]</v>
      </c>
    </row>
    <row r="2014" spans="1:15" x14ac:dyDescent="0.3">
      <c r="A2014" t="s">
        <v>1793</v>
      </c>
      <c r="B2014" t="s">
        <v>2167</v>
      </c>
      <c r="C2014" t="s">
        <v>2169</v>
      </c>
      <c r="D2014">
        <v>34</v>
      </c>
      <c r="E2014" t="s">
        <v>1447</v>
      </c>
      <c r="F2014" t="s">
        <v>2258</v>
      </c>
      <c r="G2014" t="s">
        <v>1737</v>
      </c>
      <c r="H2014" t="s">
        <v>1799</v>
      </c>
      <c r="I2014" t="s">
        <v>1799</v>
      </c>
      <c r="J2014" t="s">
        <v>1799</v>
      </c>
      <c r="K2014" t="s">
        <v>1799</v>
      </c>
      <c r="L2014" t="s">
        <v>1478</v>
      </c>
      <c r="M2014" t="s">
        <v>1799</v>
      </c>
      <c r="N2014" t="s">
        <v>1799</v>
      </c>
      <c r="O2014" s="184" t="str">
        <f>"["&amp;$C2014&amp;"]["&amp;$D2014&amp;"]["&amp;$F2014&amp;"]"</f>
        <v>[S05_InherentCarbonTransferredDetail][34][ReceivingInstallationType]</v>
      </c>
    </row>
    <row r="2015" spans="1:15" x14ac:dyDescent="0.3">
      <c r="A2015" t="s">
        <v>1793</v>
      </c>
      <c r="B2015" t="s">
        <v>2167</v>
      </c>
      <c r="C2015" t="s">
        <v>2169</v>
      </c>
      <c r="D2015">
        <v>35</v>
      </c>
      <c r="E2015" t="s">
        <v>1447</v>
      </c>
      <c r="F2015" t="s">
        <v>2258</v>
      </c>
      <c r="G2015" t="s">
        <v>1737</v>
      </c>
      <c r="H2015" t="s">
        <v>1799</v>
      </c>
      <c r="I2015" t="s">
        <v>1799</v>
      </c>
      <c r="J2015" t="s">
        <v>1799</v>
      </c>
      <c r="K2015" t="s">
        <v>1799</v>
      </c>
      <c r="L2015" t="s">
        <v>1518</v>
      </c>
      <c r="M2015" t="s">
        <v>1799</v>
      </c>
      <c r="N2015" t="s">
        <v>1799</v>
      </c>
      <c r="O2015" s="184" t="str">
        <f>"["&amp;$C2015&amp;"]["&amp;$D2015&amp;"]["&amp;$F2015&amp;"]"</f>
        <v>[S05_InherentCarbonTransferredDetail][35][ReceivingInstallationType]</v>
      </c>
    </row>
    <row r="2016" spans="1:15" x14ac:dyDescent="0.3">
      <c r="A2016" t="s">
        <v>1793</v>
      </c>
      <c r="B2016" t="s">
        <v>2167</v>
      </c>
      <c r="C2016" t="s">
        <v>2169</v>
      </c>
      <c r="D2016">
        <v>36</v>
      </c>
      <c r="E2016" t="s">
        <v>1447</v>
      </c>
      <c r="F2016" t="s">
        <v>2258</v>
      </c>
      <c r="G2016" t="s">
        <v>1737</v>
      </c>
      <c r="H2016" t="s">
        <v>1799</v>
      </c>
      <c r="I2016" t="s">
        <v>1799</v>
      </c>
      <c r="J2016" t="s">
        <v>1799</v>
      </c>
      <c r="K2016" t="s">
        <v>1799</v>
      </c>
      <c r="L2016" t="s">
        <v>1530</v>
      </c>
      <c r="M2016" t="s">
        <v>1799</v>
      </c>
      <c r="N2016" t="s">
        <v>1799</v>
      </c>
      <c r="O2016" s="184" t="str">
        <f>"["&amp;$C2016&amp;"]["&amp;$D2016&amp;"]["&amp;$F2016&amp;"]"</f>
        <v>[S05_InherentCarbonTransferredDetail][36][ReceivingInstallationType]</v>
      </c>
    </row>
    <row r="2017" spans="1:15" x14ac:dyDescent="0.3">
      <c r="A2017" t="s">
        <v>1793</v>
      </c>
      <c r="B2017" t="s">
        <v>2167</v>
      </c>
      <c r="C2017" t="s">
        <v>2169</v>
      </c>
      <c r="D2017">
        <v>37</v>
      </c>
      <c r="E2017" t="s">
        <v>1447</v>
      </c>
      <c r="F2017" t="s">
        <v>2258</v>
      </c>
      <c r="G2017" t="s">
        <v>1737</v>
      </c>
      <c r="H2017" t="s">
        <v>1799</v>
      </c>
      <c r="I2017" t="s">
        <v>1799</v>
      </c>
      <c r="J2017" t="s">
        <v>1799</v>
      </c>
      <c r="K2017" t="s">
        <v>1799</v>
      </c>
      <c r="L2017" t="s">
        <v>1530</v>
      </c>
      <c r="M2017" t="s">
        <v>1799</v>
      </c>
      <c r="N2017" t="s">
        <v>1799</v>
      </c>
      <c r="O2017" s="184" t="str">
        <f>"["&amp;$C2017&amp;"]["&amp;$D2017&amp;"]["&amp;$F2017&amp;"]"</f>
        <v>[S05_InherentCarbonTransferredDetail][37][ReceivingInstallationType]</v>
      </c>
    </row>
    <row r="2018" spans="1:15" x14ac:dyDescent="0.3">
      <c r="A2018" t="s">
        <v>1793</v>
      </c>
      <c r="B2018" t="s">
        <v>2167</v>
      </c>
      <c r="C2018" t="s">
        <v>2169</v>
      </c>
      <c r="D2018">
        <v>38</v>
      </c>
      <c r="E2018" t="s">
        <v>1447</v>
      </c>
      <c r="F2018" t="s">
        <v>2258</v>
      </c>
      <c r="G2018" t="s">
        <v>1737</v>
      </c>
      <c r="H2018" t="s">
        <v>1799</v>
      </c>
      <c r="I2018" t="s">
        <v>1799</v>
      </c>
      <c r="J2018" t="s">
        <v>1799</v>
      </c>
      <c r="K2018" t="s">
        <v>1799</v>
      </c>
      <c r="L2018" t="s">
        <v>1530</v>
      </c>
      <c r="M2018" t="s">
        <v>1799</v>
      </c>
      <c r="N2018" t="s">
        <v>1799</v>
      </c>
      <c r="O2018" s="184" t="str">
        <f>"["&amp;$C2018&amp;"]["&amp;$D2018&amp;"]["&amp;$F2018&amp;"]"</f>
        <v>[S05_InherentCarbonTransferredDetail][38][ReceivingInstallationType]</v>
      </c>
    </row>
    <row r="2019" spans="1:15" x14ac:dyDescent="0.3">
      <c r="A2019" t="s">
        <v>1793</v>
      </c>
      <c r="B2019" t="s">
        <v>2167</v>
      </c>
      <c r="C2019" t="s">
        <v>2169</v>
      </c>
      <c r="D2019">
        <v>39</v>
      </c>
      <c r="E2019" t="s">
        <v>1447</v>
      </c>
      <c r="F2019" t="s">
        <v>2258</v>
      </c>
      <c r="G2019" t="s">
        <v>1737</v>
      </c>
      <c r="H2019" t="s">
        <v>1799</v>
      </c>
      <c r="I2019" t="s">
        <v>1799</v>
      </c>
      <c r="J2019" t="s">
        <v>1799</v>
      </c>
      <c r="K2019" t="s">
        <v>1799</v>
      </c>
      <c r="L2019" t="s">
        <v>1420</v>
      </c>
      <c r="M2019" t="s">
        <v>1799</v>
      </c>
      <c r="N2019" t="s">
        <v>1799</v>
      </c>
      <c r="O2019" s="184" t="str">
        <f>"["&amp;$C2019&amp;"]["&amp;$D2019&amp;"]["&amp;$F2019&amp;"]"</f>
        <v>[S05_InherentCarbonTransferredDetail][39][ReceivingInstallationType]</v>
      </c>
    </row>
    <row r="2020" spans="1:15" x14ac:dyDescent="0.3">
      <c r="A2020" t="s">
        <v>1793</v>
      </c>
      <c r="B2020" t="s">
        <v>2167</v>
      </c>
      <c r="C2020" t="s">
        <v>2169</v>
      </c>
      <c r="D2020">
        <v>40</v>
      </c>
      <c r="E2020" t="s">
        <v>1447</v>
      </c>
      <c r="F2020" t="s">
        <v>2258</v>
      </c>
      <c r="G2020" t="s">
        <v>1737</v>
      </c>
      <c r="H2020" t="s">
        <v>1799</v>
      </c>
      <c r="I2020" t="s">
        <v>1799</v>
      </c>
      <c r="J2020" t="s">
        <v>1799</v>
      </c>
      <c r="K2020" t="s">
        <v>1799</v>
      </c>
      <c r="L2020" t="s">
        <v>1420</v>
      </c>
      <c r="M2020" t="s">
        <v>1799</v>
      </c>
      <c r="N2020" t="s">
        <v>1799</v>
      </c>
      <c r="O2020" s="184" t="str">
        <f>"["&amp;$C2020&amp;"]["&amp;$D2020&amp;"]["&amp;$F2020&amp;"]"</f>
        <v>[S05_InherentCarbonTransferredDetail][40][ReceivingInstallationType]</v>
      </c>
    </row>
    <row r="2021" spans="1:15" x14ac:dyDescent="0.3">
      <c r="A2021" t="s">
        <v>1793</v>
      </c>
      <c r="B2021" t="s">
        <v>2167</v>
      </c>
      <c r="C2021" t="s">
        <v>2169</v>
      </c>
      <c r="D2021">
        <v>41</v>
      </c>
      <c r="E2021" t="s">
        <v>1447</v>
      </c>
      <c r="F2021" t="s">
        <v>2258</v>
      </c>
      <c r="G2021" t="s">
        <v>1737</v>
      </c>
      <c r="H2021" t="s">
        <v>1799</v>
      </c>
      <c r="I2021" t="s">
        <v>1799</v>
      </c>
      <c r="J2021" t="s">
        <v>1799</v>
      </c>
      <c r="K2021" t="s">
        <v>1799</v>
      </c>
      <c r="L2021" t="s">
        <v>1420</v>
      </c>
      <c r="M2021" t="s">
        <v>1799</v>
      </c>
      <c r="N2021" t="s">
        <v>1799</v>
      </c>
      <c r="O2021" s="184" t="str">
        <f>"["&amp;$C2021&amp;"]["&amp;$D2021&amp;"]["&amp;$F2021&amp;"]"</f>
        <v>[S05_InherentCarbonTransferredDetail][41][ReceivingInstallationType]</v>
      </c>
    </row>
    <row r="2022" spans="1:15" x14ac:dyDescent="0.3">
      <c r="A2022" t="s">
        <v>1793</v>
      </c>
      <c r="B2022" t="s">
        <v>2167</v>
      </c>
      <c r="C2022" t="s">
        <v>2169</v>
      </c>
      <c r="D2022">
        <v>42</v>
      </c>
      <c r="E2022" t="s">
        <v>1447</v>
      </c>
      <c r="F2022" t="s">
        <v>2258</v>
      </c>
      <c r="G2022" t="s">
        <v>1737</v>
      </c>
      <c r="H2022" t="s">
        <v>1799</v>
      </c>
      <c r="I2022" t="s">
        <v>1799</v>
      </c>
      <c r="J2022" t="s">
        <v>1799</v>
      </c>
      <c r="K2022" t="s">
        <v>1799</v>
      </c>
      <c r="L2022" t="s">
        <v>1420</v>
      </c>
      <c r="M2022" t="s">
        <v>1799</v>
      </c>
      <c r="N2022" t="s">
        <v>1799</v>
      </c>
      <c r="O2022" s="184" t="str">
        <f>"["&amp;$C2022&amp;"]["&amp;$D2022&amp;"]["&amp;$F2022&amp;"]"</f>
        <v>[S05_InherentCarbonTransferredDetail][42][ReceivingInstallationType]</v>
      </c>
    </row>
    <row r="2023" spans="1:15" x14ac:dyDescent="0.3">
      <c r="A2023" t="s">
        <v>1793</v>
      </c>
      <c r="B2023" t="s">
        <v>2167</v>
      </c>
      <c r="C2023" t="s">
        <v>2169</v>
      </c>
      <c r="D2023">
        <v>43</v>
      </c>
      <c r="E2023" t="s">
        <v>1447</v>
      </c>
      <c r="F2023" t="s">
        <v>2258</v>
      </c>
      <c r="G2023" t="s">
        <v>1737</v>
      </c>
      <c r="H2023" t="s">
        <v>1799</v>
      </c>
      <c r="I2023" t="s">
        <v>1799</v>
      </c>
      <c r="J2023" t="s">
        <v>1799</v>
      </c>
      <c r="K2023" t="s">
        <v>1799</v>
      </c>
      <c r="L2023" t="s">
        <v>1420</v>
      </c>
      <c r="M2023" t="s">
        <v>1799</v>
      </c>
      <c r="N2023" t="s">
        <v>1799</v>
      </c>
      <c r="O2023" s="184" t="str">
        <f>"["&amp;$C2023&amp;"]["&amp;$D2023&amp;"]["&amp;$F2023&amp;"]"</f>
        <v>[S05_InherentCarbonTransferredDetail][43][ReceivingInstallationType]</v>
      </c>
    </row>
    <row r="2024" spans="1:15" x14ac:dyDescent="0.3">
      <c r="A2024" t="s">
        <v>1793</v>
      </c>
      <c r="B2024" t="s">
        <v>2167</v>
      </c>
      <c r="C2024" t="s">
        <v>2169</v>
      </c>
      <c r="D2024">
        <v>44</v>
      </c>
      <c r="E2024" t="s">
        <v>1447</v>
      </c>
      <c r="F2024" t="s">
        <v>2258</v>
      </c>
      <c r="G2024" t="s">
        <v>1737</v>
      </c>
      <c r="H2024" t="s">
        <v>1799</v>
      </c>
      <c r="I2024" t="s">
        <v>1799</v>
      </c>
      <c r="J2024" t="s">
        <v>1799</v>
      </c>
      <c r="K2024" t="s">
        <v>1799</v>
      </c>
      <c r="L2024" t="s">
        <v>1518</v>
      </c>
      <c r="M2024" t="s">
        <v>1799</v>
      </c>
      <c r="N2024" t="s">
        <v>1799</v>
      </c>
      <c r="O2024" s="184" t="str">
        <f>"["&amp;$C2024&amp;"]["&amp;$D2024&amp;"]["&amp;$F2024&amp;"]"</f>
        <v>[S05_InherentCarbonTransferredDetail][44][ReceivingInstallationType]</v>
      </c>
    </row>
    <row r="2025" spans="1:15" x14ac:dyDescent="0.3">
      <c r="A2025" t="s">
        <v>1793</v>
      </c>
      <c r="B2025" t="s">
        <v>2167</v>
      </c>
      <c r="C2025" t="s">
        <v>2169</v>
      </c>
      <c r="D2025">
        <v>45</v>
      </c>
      <c r="E2025" t="s">
        <v>1447</v>
      </c>
      <c r="F2025" t="s">
        <v>2258</v>
      </c>
      <c r="G2025" t="s">
        <v>1737</v>
      </c>
      <c r="H2025" t="s">
        <v>1799</v>
      </c>
      <c r="I2025" t="s">
        <v>1799</v>
      </c>
      <c r="J2025" t="s">
        <v>1799</v>
      </c>
      <c r="K2025" t="s">
        <v>1799</v>
      </c>
      <c r="L2025" t="s">
        <v>1530</v>
      </c>
      <c r="M2025" t="s">
        <v>1799</v>
      </c>
      <c r="N2025" t="s">
        <v>1799</v>
      </c>
      <c r="O2025" s="184" t="str">
        <f>"["&amp;$C2025&amp;"]["&amp;$D2025&amp;"]["&amp;$F2025&amp;"]"</f>
        <v>[S05_InherentCarbonTransferredDetail][45][ReceivingInstallationType]</v>
      </c>
    </row>
    <row r="2026" spans="1:15" x14ac:dyDescent="0.3">
      <c r="A2026" t="s">
        <v>1793</v>
      </c>
      <c r="B2026" t="s">
        <v>2167</v>
      </c>
      <c r="C2026" t="s">
        <v>2169</v>
      </c>
      <c r="D2026">
        <v>46</v>
      </c>
      <c r="E2026" t="s">
        <v>1447</v>
      </c>
      <c r="F2026" t="s">
        <v>2258</v>
      </c>
      <c r="G2026" t="s">
        <v>1737</v>
      </c>
      <c r="H2026" t="s">
        <v>1799</v>
      </c>
      <c r="I2026" t="s">
        <v>1799</v>
      </c>
      <c r="J2026" t="s">
        <v>1799</v>
      </c>
      <c r="K2026" t="s">
        <v>1799</v>
      </c>
      <c r="L2026" t="s">
        <v>1530</v>
      </c>
      <c r="M2026" t="s">
        <v>1799</v>
      </c>
      <c r="N2026" t="s">
        <v>1799</v>
      </c>
      <c r="O2026" s="184" t="str">
        <f>"["&amp;$C2026&amp;"]["&amp;$D2026&amp;"]["&amp;$F2026&amp;"]"</f>
        <v>[S05_InherentCarbonTransferredDetail][46][ReceivingInstallationType]</v>
      </c>
    </row>
    <row r="2027" spans="1:15" x14ac:dyDescent="0.3">
      <c r="A2027" t="s">
        <v>1793</v>
      </c>
      <c r="B2027" t="s">
        <v>2167</v>
      </c>
      <c r="C2027" t="s">
        <v>2169</v>
      </c>
      <c r="D2027">
        <v>47</v>
      </c>
      <c r="E2027" t="s">
        <v>1447</v>
      </c>
      <c r="F2027" t="s">
        <v>2258</v>
      </c>
      <c r="G2027" t="s">
        <v>1737</v>
      </c>
      <c r="H2027" t="s">
        <v>1799</v>
      </c>
      <c r="I2027" t="s">
        <v>1799</v>
      </c>
      <c r="J2027" t="s">
        <v>1799</v>
      </c>
      <c r="K2027" t="s">
        <v>1799</v>
      </c>
      <c r="L2027" t="s">
        <v>1420</v>
      </c>
      <c r="M2027" t="s">
        <v>1799</v>
      </c>
      <c r="N2027" t="s">
        <v>1799</v>
      </c>
      <c r="O2027" s="184" t="str">
        <f>"["&amp;$C2027&amp;"]["&amp;$D2027&amp;"]["&amp;$F2027&amp;"]"</f>
        <v>[S05_InherentCarbonTransferredDetail][47][ReceivingInstallationType]</v>
      </c>
    </row>
    <row r="2028" spans="1:15" x14ac:dyDescent="0.3">
      <c r="A2028" t="s">
        <v>1793</v>
      </c>
      <c r="B2028" t="s">
        <v>2167</v>
      </c>
      <c r="C2028" t="s">
        <v>2169</v>
      </c>
      <c r="D2028">
        <v>48</v>
      </c>
      <c r="E2028" t="s">
        <v>1447</v>
      </c>
      <c r="F2028" t="s">
        <v>2258</v>
      </c>
      <c r="G2028" t="s">
        <v>1737</v>
      </c>
      <c r="H2028" t="s">
        <v>1799</v>
      </c>
      <c r="I2028" t="s">
        <v>1799</v>
      </c>
      <c r="J2028" t="s">
        <v>1799</v>
      </c>
      <c r="K2028" t="s">
        <v>1799</v>
      </c>
      <c r="L2028" t="s">
        <v>1530</v>
      </c>
      <c r="M2028" t="s">
        <v>1799</v>
      </c>
      <c r="N2028" t="s">
        <v>1799</v>
      </c>
      <c r="O2028" s="184" t="str">
        <f>"["&amp;$C2028&amp;"]["&amp;$D2028&amp;"]["&amp;$F2028&amp;"]"</f>
        <v>[S05_InherentCarbonTransferredDetail][48][ReceivingInstallationType]</v>
      </c>
    </row>
    <row r="2029" spans="1:15" x14ac:dyDescent="0.3">
      <c r="A2029" t="s">
        <v>1793</v>
      </c>
      <c r="B2029" t="s">
        <v>2167</v>
      </c>
      <c r="C2029" t="s">
        <v>2169</v>
      </c>
      <c r="D2029">
        <v>49</v>
      </c>
      <c r="E2029" t="s">
        <v>1447</v>
      </c>
      <c r="F2029" t="s">
        <v>2258</v>
      </c>
      <c r="G2029" t="s">
        <v>1737</v>
      </c>
      <c r="H2029" t="s">
        <v>1799</v>
      </c>
      <c r="I2029" t="s">
        <v>1799</v>
      </c>
      <c r="J2029" t="s">
        <v>1799</v>
      </c>
      <c r="K2029" t="s">
        <v>1799</v>
      </c>
      <c r="L2029" t="s">
        <v>1420</v>
      </c>
      <c r="M2029" t="s">
        <v>1799</v>
      </c>
      <c r="N2029" t="s">
        <v>1799</v>
      </c>
      <c r="O2029" s="184" t="str">
        <f>"["&amp;$C2029&amp;"]["&amp;$D2029&amp;"]["&amp;$F2029&amp;"]"</f>
        <v>[S05_InherentCarbonTransferredDetail][49][ReceivingInstallationType]</v>
      </c>
    </row>
    <row r="2030" spans="1:15" x14ac:dyDescent="0.3">
      <c r="A2030" t="s">
        <v>1793</v>
      </c>
      <c r="B2030" t="s">
        <v>2167</v>
      </c>
      <c r="C2030" t="s">
        <v>2169</v>
      </c>
      <c r="D2030">
        <v>50</v>
      </c>
      <c r="E2030" t="s">
        <v>1447</v>
      </c>
      <c r="F2030" t="s">
        <v>2258</v>
      </c>
      <c r="G2030" t="s">
        <v>1737</v>
      </c>
      <c r="H2030" t="s">
        <v>1799</v>
      </c>
      <c r="I2030" t="s">
        <v>1799</v>
      </c>
      <c r="J2030" t="s">
        <v>1799</v>
      </c>
      <c r="K2030" t="s">
        <v>1799</v>
      </c>
      <c r="L2030" t="s">
        <v>1420</v>
      </c>
      <c r="M2030" t="s">
        <v>1799</v>
      </c>
      <c r="N2030" t="s">
        <v>1799</v>
      </c>
      <c r="O2030" s="184" t="str">
        <f>"["&amp;$C2030&amp;"]["&amp;$D2030&amp;"]["&amp;$F2030&amp;"]"</f>
        <v>[S05_InherentCarbonTransferredDetail][50][ReceivingInstallationType]</v>
      </c>
    </row>
    <row r="2031" spans="1:15" x14ac:dyDescent="0.3">
      <c r="A2031" t="s">
        <v>1793</v>
      </c>
      <c r="B2031" t="s">
        <v>2167</v>
      </c>
      <c r="C2031" t="s">
        <v>2169</v>
      </c>
      <c r="D2031">
        <v>51</v>
      </c>
      <c r="E2031" t="s">
        <v>1447</v>
      </c>
      <c r="F2031" t="s">
        <v>2258</v>
      </c>
      <c r="G2031" t="s">
        <v>1737</v>
      </c>
      <c r="H2031" t="s">
        <v>1799</v>
      </c>
      <c r="I2031" t="s">
        <v>1799</v>
      </c>
      <c r="J2031" t="s">
        <v>1799</v>
      </c>
      <c r="K2031" t="s">
        <v>1799</v>
      </c>
      <c r="L2031" t="s">
        <v>1518</v>
      </c>
      <c r="M2031" t="s">
        <v>1799</v>
      </c>
      <c r="N2031" t="s">
        <v>1799</v>
      </c>
      <c r="O2031" s="184" t="str">
        <f>"["&amp;$C2031&amp;"]["&amp;$D2031&amp;"]["&amp;$F2031&amp;"]"</f>
        <v>[S05_InherentCarbonTransferredDetail][51][ReceivingInstallationType]</v>
      </c>
    </row>
    <row r="2032" spans="1:15" x14ac:dyDescent="0.3">
      <c r="A2032" t="s">
        <v>1793</v>
      </c>
      <c r="B2032" t="s">
        <v>2167</v>
      </c>
      <c r="C2032" t="s">
        <v>2169</v>
      </c>
      <c r="D2032">
        <v>52</v>
      </c>
      <c r="E2032" t="s">
        <v>1447</v>
      </c>
      <c r="F2032" t="s">
        <v>2258</v>
      </c>
      <c r="G2032" t="s">
        <v>1737</v>
      </c>
      <c r="H2032" t="s">
        <v>1799</v>
      </c>
      <c r="I2032" t="s">
        <v>1799</v>
      </c>
      <c r="J2032" t="s">
        <v>1799</v>
      </c>
      <c r="K2032" t="s">
        <v>1799</v>
      </c>
      <c r="L2032" t="s">
        <v>1478</v>
      </c>
      <c r="M2032" t="s">
        <v>1799</v>
      </c>
      <c r="N2032" t="s">
        <v>1799</v>
      </c>
      <c r="O2032" s="184" t="str">
        <f>"["&amp;$C2032&amp;"]["&amp;$D2032&amp;"]["&amp;$F2032&amp;"]"</f>
        <v>[S05_InherentCarbonTransferredDetail][52][ReceivingInstallationType]</v>
      </c>
    </row>
    <row r="2033" spans="1:15" x14ac:dyDescent="0.3">
      <c r="A2033" t="s">
        <v>1793</v>
      </c>
      <c r="B2033" t="s">
        <v>2167</v>
      </c>
      <c r="C2033" t="s">
        <v>2169</v>
      </c>
      <c r="D2033">
        <v>53</v>
      </c>
      <c r="E2033" t="s">
        <v>1447</v>
      </c>
      <c r="F2033" t="s">
        <v>2258</v>
      </c>
      <c r="G2033" t="s">
        <v>1737</v>
      </c>
      <c r="H2033" t="s">
        <v>1799</v>
      </c>
      <c r="I2033" t="s">
        <v>1799</v>
      </c>
      <c r="J2033" t="s">
        <v>1799</v>
      </c>
      <c r="K2033" t="s">
        <v>1799</v>
      </c>
      <c r="L2033" t="s">
        <v>1530</v>
      </c>
      <c r="M2033" t="s">
        <v>1799</v>
      </c>
      <c r="N2033" t="s">
        <v>1799</v>
      </c>
      <c r="O2033" s="184" t="str">
        <f>"["&amp;$C2033&amp;"]["&amp;$D2033&amp;"]["&amp;$F2033&amp;"]"</f>
        <v>[S05_InherentCarbonTransferredDetail][53][ReceivingInstallationType]</v>
      </c>
    </row>
    <row r="2034" spans="1:15" x14ac:dyDescent="0.3">
      <c r="A2034" t="s">
        <v>1793</v>
      </c>
      <c r="B2034" t="s">
        <v>2167</v>
      </c>
      <c r="C2034" t="s">
        <v>2169</v>
      </c>
      <c r="D2034">
        <v>54</v>
      </c>
      <c r="E2034" t="s">
        <v>1447</v>
      </c>
      <c r="F2034" t="s">
        <v>2258</v>
      </c>
      <c r="G2034" t="s">
        <v>1737</v>
      </c>
      <c r="H2034" t="s">
        <v>1799</v>
      </c>
      <c r="I2034" t="s">
        <v>1799</v>
      </c>
      <c r="J2034" t="s">
        <v>1799</v>
      </c>
      <c r="K2034" t="s">
        <v>1799</v>
      </c>
      <c r="L2034" t="s">
        <v>1420</v>
      </c>
      <c r="M2034" t="s">
        <v>1799</v>
      </c>
      <c r="N2034" t="s">
        <v>1799</v>
      </c>
      <c r="O2034" s="184" t="str">
        <f>"["&amp;$C2034&amp;"]["&amp;$D2034&amp;"]["&amp;$F2034&amp;"]"</f>
        <v>[S05_InherentCarbonTransferredDetail][54][ReceivingInstallationType]</v>
      </c>
    </row>
    <row r="2035" spans="1:15" x14ac:dyDescent="0.3">
      <c r="A2035" t="s">
        <v>1793</v>
      </c>
      <c r="B2035" t="s">
        <v>2167</v>
      </c>
      <c r="C2035" t="s">
        <v>2169</v>
      </c>
      <c r="D2035">
        <v>55</v>
      </c>
      <c r="E2035" t="s">
        <v>1447</v>
      </c>
      <c r="F2035" t="s">
        <v>2258</v>
      </c>
      <c r="G2035" t="s">
        <v>1737</v>
      </c>
      <c r="H2035" t="s">
        <v>1799</v>
      </c>
      <c r="I2035" t="s">
        <v>1799</v>
      </c>
      <c r="J2035" t="s">
        <v>1799</v>
      </c>
      <c r="K2035" t="s">
        <v>1799</v>
      </c>
      <c r="L2035" t="s">
        <v>1420</v>
      </c>
      <c r="M2035" t="s">
        <v>1799</v>
      </c>
      <c r="N2035" t="s">
        <v>1799</v>
      </c>
      <c r="O2035" s="184" t="str">
        <f>"["&amp;$C2035&amp;"]["&amp;$D2035&amp;"]["&amp;$F2035&amp;"]"</f>
        <v>[S05_InherentCarbonTransferredDetail][55][ReceivingInstallationType]</v>
      </c>
    </row>
    <row r="2036" spans="1:15" x14ac:dyDescent="0.3">
      <c r="A2036" t="s">
        <v>1793</v>
      </c>
      <c r="B2036" t="s">
        <v>2167</v>
      </c>
      <c r="C2036" t="s">
        <v>2169</v>
      </c>
      <c r="D2036">
        <v>56</v>
      </c>
      <c r="E2036" t="s">
        <v>1447</v>
      </c>
      <c r="F2036" t="s">
        <v>2258</v>
      </c>
      <c r="G2036" t="s">
        <v>1737</v>
      </c>
      <c r="H2036" t="s">
        <v>1799</v>
      </c>
      <c r="I2036" t="s">
        <v>1799</v>
      </c>
      <c r="J2036" t="s">
        <v>1799</v>
      </c>
      <c r="K2036" t="s">
        <v>1799</v>
      </c>
      <c r="L2036" t="s">
        <v>1420</v>
      </c>
      <c r="M2036" t="s">
        <v>1799</v>
      </c>
      <c r="N2036" t="s">
        <v>1799</v>
      </c>
      <c r="O2036" s="184" t="str">
        <f>"["&amp;$C2036&amp;"]["&amp;$D2036&amp;"]["&amp;$F2036&amp;"]"</f>
        <v>[S05_InherentCarbonTransferredDetail][56][ReceivingInstallationType]</v>
      </c>
    </row>
    <row r="2037" spans="1:15" x14ac:dyDescent="0.3">
      <c r="A2037" t="s">
        <v>1793</v>
      </c>
      <c r="B2037" t="s">
        <v>2167</v>
      </c>
      <c r="C2037" t="s">
        <v>2169</v>
      </c>
      <c r="D2037">
        <v>57</v>
      </c>
      <c r="E2037" t="s">
        <v>1447</v>
      </c>
      <c r="F2037" t="s">
        <v>2258</v>
      </c>
      <c r="G2037" t="s">
        <v>1737</v>
      </c>
      <c r="H2037" t="s">
        <v>1799</v>
      </c>
      <c r="I2037" t="s">
        <v>1799</v>
      </c>
      <c r="J2037" t="s">
        <v>1799</v>
      </c>
      <c r="K2037" t="s">
        <v>1799</v>
      </c>
      <c r="L2037" t="s">
        <v>1420</v>
      </c>
      <c r="M2037" t="s">
        <v>1799</v>
      </c>
      <c r="N2037" t="s">
        <v>1799</v>
      </c>
      <c r="O2037" s="184" t="str">
        <f>"["&amp;$C2037&amp;"]["&amp;$D2037&amp;"]["&amp;$F2037&amp;"]"</f>
        <v>[S05_InherentCarbonTransferredDetail][57][ReceivingInstallationType]</v>
      </c>
    </row>
    <row r="2038" spans="1:15" x14ac:dyDescent="0.3">
      <c r="A2038" t="s">
        <v>1793</v>
      </c>
      <c r="B2038" t="s">
        <v>2167</v>
      </c>
      <c r="C2038" t="s">
        <v>2169</v>
      </c>
      <c r="D2038">
        <v>58</v>
      </c>
      <c r="E2038" t="s">
        <v>1447</v>
      </c>
      <c r="F2038" t="s">
        <v>2258</v>
      </c>
      <c r="G2038" t="s">
        <v>1737</v>
      </c>
      <c r="H2038" t="s">
        <v>1799</v>
      </c>
      <c r="I2038" t="s">
        <v>1799</v>
      </c>
      <c r="J2038" t="s">
        <v>1799</v>
      </c>
      <c r="K2038" t="s">
        <v>1799</v>
      </c>
      <c r="L2038" t="s">
        <v>1502</v>
      </c>
      <c r="M2038" t="s">
        <v>1799</v>
      </c>
      <c r="N2038" t="s">
        <v>1799</v>
      </c>
      <c r="O2038" s="184" t="str">
        <f>"["&amp;$C2038&amp;"]["&amp;$D2038&amp;"]["&amp;$F2038&amp;"]"</f>
        <v>[S05_InherentCarbonTransferredDetail][58][ReceivingInstallationType]</v>
      </c>
    </row>
    <row r="2039" spans="1:15" x14ac:dyDescent="0.3">
      <c r="A2039" t="s">
        <v>1793</v>
      </c>
      <c r="B2039" t="s">
        <v>2167</v>
      </c>
      <c r="C2039" t="s">
        <v>2169</v>
      </c>
      <c r="D2039">
        <v>59</v>
      </c>
      <c r="E2039" t="s">
        <v>1447</v>
      </c>
      <c r="F2039" t="s">
        <v>2258</v>
      </c>
      <c r="G2039" t="s">
        <v>1737</v>
      </c>
      <c r="H2039" t="s">
        <v>1799</v>
      </c>
      <c r="I2039" t="s">
        <v>1799</v>
      </c>
      <c r="J2039" t="s">
        <v>1799</v>
      </c>
      <c r="K2039" t="s">
        <v>1799</v>
      </c>
      <c r="L2039" t="s">
        <v>1420</v>
      </c>
      <c r="M2039" t="s">
        <v>1799</v>
      </c>
      <c r="N2039" t="s">
        <v>1799</v>
      </c>
      <c r="O2039" s="184" t="str">
        <f>"["&amp;$C2039&amp;"]["&amp;$D2039&amp;"]["&amp;$F2039&amp;"]"</f>
        <v>[S05_InherentCarbonTransferredDetail][59][ReceivingInstallationType]</v>
      </c>
    </row>
    <row r="2040" spans="1:15" x14ac:dyDescent="0.3">
      <c r="A2040" t="s">
        <v>1793</v>
      </c>
      <c r="B2040" t="s">
        <v>2167</v>
      </c>
      <c r="C2040" t="s">
        <v>2169</v>
      </c>
      <c r="D2040">
        <v>60</v>
      </c>
      <c r="E2040" t="s">
        <v>1447</v>
      </c>
      <c r="F2040" t="s">
        <v>2258</v>
      </c>
      <c r="G2040" t="s">
        <v>1737</v>
      </c>
      <c r="H2040" t="s">
        <v>1799</v>
      </c>
      <c r="I2040" t="s">
        <v>1799</v>
      </c>
      <c r="J2040" t="s">
        <v>1799</v>
      </c>
      <c r="K2040" t="s">
        <v>1799</v>
      </c>
      <c r="L2040" t="s">
        <v>1602</v>
      </c>
      <c r="M2040" t="s">
        <v>1799</v>
      </c>
      <c r="N2040" t="s">
        <v>1799</v>
      </c>
      <c r="O2040" s="184" t="str">
        <f>"["&amp;$C2040&amp;"]["&amp;$D2040&amp;"]["&amp;$F2040&amp;"]"</f>
        <v>[S05_InherentCarbonTransferredDetail][60][ReceivingInstallationType]</v>
      </c>
    </row>
    <row r="2041" spans="1:15" x14ac:dyDescent="0.3">
      <c r="A2041" t="s">
        <v>1793</v>
      </c>
      <c r="B2041" t="s">
        <v>2167</v>
      </c>
      <c r="C2041" t="s">
        <v>2169</v>
      </c>
      <c r="D2041">
        <v>61</v>
      </c>
      <c r="E2041" t="s">
        <v>1447</v>
      </c>
      <c r="F2041" t="s">
        <v>2258</v>
      </c>
      <c r="G2041" t="s">
        <v>1737</v>
      </c>
      <c r="H2041" t="s">
        <v>1799</v>
      </c>
      <c r="I2041" t="s">
        <v>1799</v>
      </c>
      <c r="J2041" t="s">
        <v>1799</v>
      </c>
      <c r="K2041" t="s">
        <v>1799</v>
      </c>
      <c r="L2041" t="s">
        <v>1448</v>
      </c>
      <c r="M2041" t="s">
        <v>1799</v>
      </c>
      <c r="N2041" t="s">
        <v>1799</v>
      </c>
      <c r="O2041" s="184" t="str">
        <f>"["&amp;$C2041&amp;"]["&amp;$D2041&amp;"]["&amp;$F2041&amp;"]"</f>
        <v>[S05_InherentCarbonTransferredDetail][61][ReceivingInstallationType]</v>
      </c>
    </row>
    <row r="2042" spans="1:15" x14ac:dyDescent="0.3">
      <c r="A2042" t="s">
        <v>1793</v>
      </c>
      <c r="B2042" t="s">
        <v>2167</v>
      </c>
      <c r="C2042" t="s">
        <v>2169</v>
      </c>
      <c r="D2042">
        <v>62</v>
      </c>
      <c r="E2042" t="s">
        <v>1447</v>
      </c>
      <c r="F2042" t="s">
        <v>2258</v>
      </c>
      <c r="G2042" t="s">
        <v>1737</v>
      </c>
      <c r="H2042" t="s">
        <v>1799</v>
      </c>
      <c r="I2042" t="s">
        <v>1799</v>
      </c>
      <c r="J2042" t="s">
        <v>1799</v>
      </c>
      <c r="K2042" t="s">
        <v>1799</v>
      </c>
      <c r="L2042" t="s">
        <v>1631</v>
      </c>
      <c r="M2042" t="s">
        <v>1799</v>
      </c>
      <c r="N2042" t="s">
        <v>1799</v>
      </c>
      <c r="O2042" s="184" t="str">
        <f>"["&amp;$C2042&amp;"]["&amp;$D2042&amp;"]["&amp;$F2042&amp;"]"</f>
        <v>[S05_InherentCarbonTransferredDetail][62][ReceivingInstallationType]</v>
      </c>
    </row>
    <row r="2043" spans="1:15" x14ac:dyDescent="0.3">
      <c r="A2043" t="s">
        <v>1793</v>
      </c>
      <c r="B2043" t="s">
        <v>2167</v>
      </c>
      <c r="C2043" t="s">
        <v>2169</v>
      </c>
      <c r="D2043">
        <v>63</v>
      </c>
      <c r="E2043" t="s">
        <v>1447</v>
      </c>
      <c r="F2043" t="s">
        <v>2258</v>
      </c>
      <c r="G2043" t="s">
        <v>1737</v>
      </c>
      <c r="H2043" t="s">
        <v>1799</v>
      </c>
      <c r="I2043" t="s">
        <v>1799</v>
      </c>
      <c r="J2043" t="s">
        <v>1799</v>
      </c>
      <c r="K2043" t="s">
        <v>1799</v>
      </c>
      <c r="L2043" t="s">
        <v>1626</v>
      </c>
      <c r="M2043" t="s">
        <v>1799</v>
      </c>
      <c r="N2043" t="s">
        <v>1799</v>
      </c>
      <c r="O2043" s="184" t="str">
        <f>"["&amp;$C2043&amp;"]["&amp;$D2043&amp;"]["&amp;$F2043&amp;"]"</f>
        <v>[S05_InherentCarbonTransferredDetail][63][ReceivingInstallationType]</v>
      </c>
    </row>
    <row r="2044" spans="1:15" x14ac:dyDescent="0.3">
      <c r="A2044" t="s">
        <v>1793</v>
      </c>
      <c r="B2044" t="s">
        <v>2167</v>
      </c>
      <c r="C2044" t="s">
        <v>2169</v>
      </c>
      <c r="D2044">
        <v>64</v>
      </c>
      <c r="E2044" t="s">
        <v>1447</v>
      </c>
      <c r="F2044" t="s">
        <v>2258</v>
      </c>
      <c r="G2044" t="s">
        <v>1737</v>
      </c>
      <c r="H2044" t="s">
        <v>1799</v>
      </c>
      <c r="I2044" t="s">
        <v>1799</v>
      </c>
      <c r="J2044" t="s">
        <v>1799</v>
      </c>
      <c r="K2044" t="s">
        <v>1799</v>
      </c>
      <c r="L2044" t="s">
        <v>1626</v>
      </c>
      <c r="M2044" t="s">
        <v>1799</v>
      </c>
      <c r="N2044" t="s">
        <v>1799</v>
      </c>
      <c r="O2044" s="184" t="str">
        <f>"["&amp;$C2044&amp;"]["&amp;$D2044&amp;"]["&amp;$F2044&amp;"]"</f>
        <v>[S05_InherentCarbonTransferredDetail][64][ReceivingInstallationType]</v>
      </c>
    </row>
    <row r="2045" spans="1:15" x14ac:dyDescent="0.3">
      <c r="A2045" t="s">
        <v>1793</v>
      </c>
      <c r="B2045" t="s">
        <v>2167</v>
      </c>
      <c r="C2045" t="s">
        <v>2169</v>
      </c>
      <c r="D2045">
        <v>65</v>
      </c>
      <c r="E2045" t="s">
        <v>1447</v>
      </c>
      <c r="F2045" t="s">
        <v>2258</v>
      </c>
      <c r="G2045" t="s">
        <v>1737</v>
      </c>
      <c r="H2045" t="s">
        <v>1799</v>
      </c>
      <c r="I2045" t="s">
        <v>1799</v>
      </c>
      <c r="J2045" t="s">
        <v>1799</v>
      </c>
      <c r="K2045" t="s">
        <v>1799</v>
      </c>
      <c r="L2045" t="s">
        <v>1607</v>
      </c>
      <c r="M2045" t="s">
        <v>1799</v>
      </c>
      <c r="N2045" t="s">
        <v>1799</v>
      </c>
      <c r="O2045" s="184" t="str">
        <f>"["&amp;$C2045&amp;"]["&amp;$D2045&amp;"]["&amp;$F2045&amp;"]"</f>
        <v>[S05_InherentCarbonTransferredDetail][65][ReceivingInstallationType]</v>
      </c>
    </row>
    <row r="2046" spans="1:15" x14ac:dyDescent="0.3">
      <c r="A2046" t="s">
        <v>1793</v>
      </c>
      <c r="B2046" t="s">
        <v>2167</v>
      </c>
      <c r="C2046" t="s">
        <v>2169</v>
      </c>
      <c r="D2046">
        <v>66</v>
      </c>
      <c r="E2046" t="s">
        <v>1447</v>
      </c>
      <c r="F2046" t="s">
        <v>2258</v>
      </c>
      <c r="G2046" t="s">
        <v>1737</v>
      </c>
      <c r="H2046" t="s">
        <v>1799</v>
      </c>
      <c r="I2046" t="s">
        <v>1799</v>
      </c>
      <c r="J2046" t="s">
        <v>1799</v>
      </c>
      <c r="K2046" t="s">
        <v>1799</v>
      </c>
      <c r="L2046" t="s">
        <v>1626</v>
      </c>
      <c r="M2046" t="s">
        <v>1799</v>
      </c>
      <c r="N2046" t="s">
        <v>1799</v>
      </c>
      <c r="O2046" s="184" t="str">
        <f>"["&amp;$C2046&amp;"]["&amp;$D2046&amp;"]["&amp;$F2046&amp;"]"</f>
        <v>[S05_InherentCarbonTransferredDetail][66][ReceivingInstallationType]</v>
      </c>
    </row>
    <row r="2047" spans="1:15" x14ac:dyDescent="0.3">
      <c r="A2047" t="s">
        <v>1793</v>
      </c>
      <c r="B2047" t="s">
        <v>2167</v>
      </c>
      <c r="C2047" t="s">
        <v>2169</v>
      </c>
      <c r="D2047">
        <v>67</v>
      </c>
      <c r="E2047" t="s">
        <v>1447</v>
      </c>
      <c r="F2047" t="s">
        <v>2258</v>
      </c>
      <c r="G2047" t="s">
        <v>1737</v>
      </c>
      <c r="H2047" t="s">
        <v>1799</v>
      </c>
      <c r="I2047" t="s">
        <v>1799</v>
      </c>
      <c r="J2047" t="s">
        <v>1799</v>
      </c>
      <c r="K2047" t="s">
        <v>1799</v>
      </c>
      <c r="L2047" t="s">
        <v>1420</v>
      </c>
      <c r="M2047" t="s">
        <v>1799</v>
      </c>
      <c r="N2047" t="s">
        <v>1799</v>
      </c>
      <c r="O2047" s="184" t="str">
        <f>"["&amp;$C2047&amp;"]["&amp;$D2047&amp;"]["&amp;$F2047&amp;"]"</f>
        <v>[S05_InherentCarbonTransferredDetail][67][ReceivingInstallationType]</v>
      </c>
    </row>
    <row r="2048" spans="1:15" x14ac:dyDescent="0.3">
      <c r="A2048" t="s">
        <v>1793</v>
      </c>
      <c r="B2048" t="s">
        <v>2167</v>
      </c>
      <c r="C2048" t="s">
        <v>2169</v>
      </c>
      <c r="D2048">
        <v>68</v>
      </c>
      <c r="E2048" t="s">
        <v>1447</v>
      </c>
      <c r="F2048" t="s">
        <v>2258</v>
      </c>
      <c r="G2048" t="s">
        <v>1737</v>
      </c>
      <c r="H2048" t="s">
        <v>1799</v>
      </c>
      <c r="I2048" t="s">
        <v>1799</v>
      </c>
      <c r="J2048" t="s">
        <v>1799</v>
      </c>
      <c r="K2048" t="s">
        <v>1799</v>
      </c>
      <c r="L2048" t="s">
        <v>1420</v>
      </c>
      <c r="M2048" t="s">
        <v>1799</v>
      </c>
      <c r="N2048" t="s">
        <v>1799</v>
      </c>
      <c r="O2048" s="184" t="str">
        <f>"["&amp;$C2048&amp;"]["&amp;$D2048&amp;"]["&amp;$F2048&amp;"]"</f>
        <v>[S05_InherentCarbonTransferredDetail][68][ReceivingInstallationType]</v>
      </c>
    </row>
    <row r="2049" spans="1:15" x14ac:dyDescent="0.3">
      <c r="A2049" t="s">
        <v>1793</v>
      </c>
      <c r="B2049" t="s">
        <v>2167</v>
      </c>
      <c r="C2049" t="s">
        <v>2169</v>
      </c>
      <c r="D2049">
        <v>69</v>
      </c>
      <c r="E2049" t="s">
        <v>1447</v>
      </c>
      <c r="F2049" t="s">
        <v>2258</v>
      </c>
      <c r="G2049" t="s">
        <v>1737</v>
      </c>
      <c r="H2049" t="s">
        <v>1799</v>
      </c>
      <c r="I2049" t="s">
        <v>1799</v>
      </c>
      <c r="J2049" t="s">
        <v>1799</v>
      </c>
      <c r="K2049" t="s">
        <v>1799</v>
      </c>
      <c r="L2049" t="s">
        <v>1420</v>
      </c>
      <c r="M2049" t="s">
        <v>1799</v>
      </c>
      <c r="N2049" t="s">
        <v>1799</v>
      </c>
      <c r="O2049" s="184" t="str">
        <f>"["&amp;$C2049&amp;"]["&amp;$D2049&amp;"]["&amp;$F2049&amp;"]"</f>
        <v>[S05_InherentCarbonTransferredDetail][69][ReceivingInstallationType]</v>
      </c>
    </row>
    <row r="2050" spans="1:15" x14ac:dyDescent="0.3">
      <c r="A2050" t="s">
        <v>1793</v>
      </c>
      <c r="B2050" t="s">
        <v>2167</v>
      </c>
      <c r="C2050" t="s">
        <v>2169</v>
      </c>
      <c r="D2050">
        <v>70</v>
      </c>
      <c r="E2050" t="s">
        <v>1447</v>
      </c>
      <c r="F2050" t="s">
        <v>2258</v>
      </c>
      <c r="G2050" t="s">
        <v>1737</v>
      </c>
      <c r="H2050" t="s">
        <v>1799</v>
      </c>
      <c r="I2050" t="s">
        <v>1799</v>
      </c>
      <c r="J2050" t="s">
        <v>1799</v>
      </c>
      <c r="K2050" t="s">
        <v>1799</v>
      </c>
      <c r="L2050" t="s">
        <v>1420</v>
      </c>
      <c r="M2050" t="s">
        <v>1799</v>
      </c>
      <c r="N2050" t="s">
        <v>1799</v>
      </c>
      <c r="O2050" s="184" t="str">
        <f>"["&amp;$C2050&amp;"]["&amp;$D2050&amp;"]["&amp;$F2050&amp;"]"</f>
        <v>[S05_InherentCarbonTransferredDetail][70][ReceivingInstallationType]</v>
      </c>
    </row>
    <row r="2051" spans="1:15" x14ac:dyDescent="0.3">
      <c r="A2051" t="s">
        <v>1793</v>
      </c>
      <c r="B2051" t="s">
        <v>2167</v>
      </c>
      <c r="C2051" t="s">
        <v>2169</v>
      </c>
      <c r="D2051">
        <v>71</v>
      </c>
      <c r="E2051" t="s">
        <v>1447</v>
      </c>
      <c r="F2051" t="s">
        <v>2258</v>
      </c>
      <c r="G2051" t="s">
        <v>1737</v>
      </c>
      <c r="H2051" t="s">
        <v>1799</v>
      </c>
      <c r="I2051" t="s">
        <v>1799</v>
      </c>
      <c r="J2051" t="s">
        <v>1799</v>
      </c>
      <c r="K2051" t="s">
        <v>1799</v>
      </c>
      <c r="L2051" t="s">
        <v>1420</v>
      </c>
      <c r="M2051" t="s">
        <v>1799</v>
      </c>
      <c r="N2051" t="s">
        <v>1799</v>
      </c>
      <c r="O2051" s="184" t="str">
        <f>"["&amp;$C2051&amp;"]["&amp;$D2051&amp;"]["&amp;$F2051&amp;"]"</f>
        <v>[S05_InherentCarbonTransferredDetail][71][ReceivingInstallationType]</v>
      </c>
    </row>
    <row r="2052" spans="1:15" x14ac:dyDescent="0.3">
      <c r="A2052" t="s">
        <v>1793</v>
      </c>
      <c r="B2052" t="s">
        <v>2167</v>
      </c>
      <c r="C2052" t="s">
        <v>2169</v>
      </c>
      <c r="D2052">
        <v>72</v>
      </c>
      <c r="E2052" t="s">
        <v>1447</v>
      </c>
      <c r="F2052" t="s">
        <v>2258</v>
      </c>
      <c r="G2052" t="s">
        <v>1737</v>
      </c>
      <c r="H2052" t="s">
        <v>1799</v>
      </c>
      <c r="I2052" t="s">
        <v>1799</v>
      </c>
      <c r="J2052" t="s">
        <v>1799</v>
      </c>
      <c r="K2052" t="s">
        <v>1799</v>
      </c>
      <c r="L2052" t="s">
        <v>1420</v>
      </c>
      <c r="M2052" t="s">
        <v>1799</v>
      </c>
      <c r="N2052" t="s">
        <v>1799</v>
      </c>
      <c r="O2052" s="184" t="str">
        <f>"["&amp;$C2052&amp;"]["&amp;$D2052&amp;"]["&amp;$F2052&amp;"]"</f>
        <v>[S05_InherentCarbonTransferredDetail][72][ReceivingInstallationType]</v>
      </c>
    </row>
    <row r="2053" spans="1:15" x14ac:dyDescent="0.3">
      <c r="A2053" t="s">
        <v>1793</v>
      </c>
      <c r="B2053" t="s">
        <v>2167</v>
      </c>
      <c r="C2053" t="s">
        <v>2169</v>
      </c>
      <c r="D2053">
        <v>73</v>
      </c>
      <c r="E2053" t="s">
        <v>1447</v>
      </c>
      <c r="F2053" t="s">
        <v>2258</v>
      </c>
      <c r="G2053" t="s">
        <v>1737</v>
      </c>
      <c r="H2053" t="s">
        <v>1799</v>
      </c>
      <c r="I2053" t="s">
        <v>1799</v>
      </c>
      <c r="J2053" t="s">
        <v>1799</v>
      </c>
      <c r="K2053" t="s">
        <v>1799</v>
      </c>
      <c r="L2053" t="s">
        <v>1420</v>
      </c>
      <c r="M2053" t="s">
        <v>1799</v>
      </c>
      <c r="N2053" t="s">
        <v>1799</v>
      </c>
      <c r="O2053" s="184" t="str">
        <f>"["&amp;$C2053&amp;"]["&amp;$D2053&amp;"]["&amp;$F2053&amp;"]"</f>
        <v>[S05_InherentCarbonTransferredDetail][73][ReceivingInstallationType]</v>
      </c>
    </row>
    <row r="2054" spans="1:15" x14ac:dyDescent="0.3">
      <c r="A2054" t="s">
        <v>1793</v>
      </c>
      <c r="B2054" t="s">
        <v>2167</v>
      </c>
      <c r="C2054" t="s">
        <v>2169</v>
      </c>
      <c r="D2054">
        <v>74</v>
      </c>
      <c r="E2054" t="s">
        <v>1447</v>
      </c>
      <c r="F2054" t="s">
        <v>2258</v>
      </c>
      <c r="G2054" t="s">
        <v>1737</v>
      </c>
      <c r="H2054" t="s">
        <v>1799</v>
      </c>
      <c r="I2054" t="s">
        <v>1799</v>
      </c>
      <c r="J2054" t="s">
        <v>1799</v>
      </c>
      <c r="K2054" t="s">
        <v>1799</v>
      </c>
      <c r="L2054" t="s">
        <v>1626</v>
      </c>
      <c r="M2054" t="s">
        <v>1799</v>
      </c>
      <c r="N2054" t="s">
        <v>1799</v>
      </c>
      <c r="O2054" s="184" t="str">
        <f>"["&amp;$C2054&amp;"]["&amp;$D2054&amp;"]["&amp;$F2054&amp;"]"</f>
        <v>[S05_InherentCarbonTransferredDetail][74][ReceivingInstallationType]</v>
      </c>
    </row>
    <row r="2055" spans="1:15" x14ac:dyDescent="0.3">
      <c r="A2055" t="s">
        <v>1793</v>
      </c>
      <c r="B2055" t="s">
        <v>2167</v>
      </c>
      <c r="C2055" t="s">
        <v>2169</v>
      </c>
      <c r="D2055">
        <v>75</v>
      </c>
      <c r="E2055" t="s">
        <v>1447</v>
      </c>
      <c r="F2055" t="s">
        <v>2258</v>
      </c>
      <c r="G2055" t="s">
        <v>1737</v>
      </c>
      <c r="H2055" t="s">
        <v>1799</v>
      </c>
      <c r="I2055" t="s">
        <v>1799</v>
      </c>
      <c r="J2055" t="s">
        <v>1799</v>
      </c>
      <c r="K2055" t="s">
        <v>1799</v>
      </c>
      <c r="L2055" t="s">
        <v>1626</v>
      </c>
      <c r="M2055" t="s">
        <v>1799</v>
      </c>
      <c r="N2055" t="s">
        <v>1799</v>
      </c>
      <c r="O2055" s="184" t="str">
        <f>"["&amp;$C2055&amp;"]["&amp;$D2055&amp;"]["&amp;$F2055&amp;"]"</f>
        <v>[S05_InherentCarbonTransferredDetail][75][ReceivingInstallationType]</v>
      </c>
    </row>
    <row r="2056" spans="1:15" x14ac:dyDescent="0.3">
      <c r="A2056" t="s">
        <v>1793</v>
      </c>
      <c r="B2056" t="s">
        <v>2167</v>
      </c>
      <c r="C2056" t="s">
        <v>2169</v>
      </c>
      <c r="D2056">
        <v>76</v>
      </c>
      <c r="E2056" t="s">
        <v>1447</v>
      </c>
      <c r="F2056" t="s">
        <v>2258</v>
      </c>
      <c r="G2056" t="s">
        <v>1737</v>
      </c>
      <c r="H2056" t="s">
        <v>1799</v>
      </c>
      <c r="I2056" t="s">
        <v>1799</v>
      </c>
      <c r="J2056" t="s">
        <v>1799</v>
      </c>
      <c r="K2056" t="s">
        <v>1799</v>
      </c>
      <c r="L2056" t="s">
        <v>1420</v>
      </c>
      <c r="M2056" t="s">
        <v>1799</v>
      </c>
      <c r="N2056" t="s">
        <v>1799</v>
      </c>
      <c r="O2056" s="184" t="str">
        <f>"["&amp;$C2056&amp;"]["&amp;$D2056&amp;"]["&amp;$F2056&amp;"]"</f>
        <v>[S05_InherentCarbonTransferredDetail][76][ReceivingInstallationType]</v>
      </c>
    </row>
    <row r="2057" spans="1:15" x14ac:dyDescent="0.3">
      <c r="A2057" t="s">
        <v>1793</v>
      </c>
      <c r="B2057" t="s">
        <v>2167</v>
      </c>
      <c r="C2057" t="s">
        <v>2169</v>
      </c>
      <c r="D2057">
        <v>77</v>
      </c>
      <c r="E2057" t="s">
        <v>1447</v>
      </c>
      <c r="F2057" t="s">
        <v>2258</v>
      </c>
      <c r="G2057" t="s">
        <v>1737</v>
      </c>
      <c r="H2057" t="s">
        <v>1799</v>
      </c>
      <c r="I2057" t="s">
        <v>1799</v>
      </c>
      <c r="J2057" t="s">
        <v>1799</v>
      </c>
      <c r="K2057" t="s">
        <v>1799</v>
      </c>
      <c r="L2057" t="s">
        <v>1626</v>
      </c>
      <c r="M2057" t="s">
        <v>1799</v>
      </c>
      <c r="N2057" t="s">
        <v>1799</v>
      </c>
      <c r="O2057" s="184" t="str">
        <f>"["&amp;$C2057&amp;"]["&amp;$D2057&amp;"]["&amp;$F2057&amp;"]"</f>
        <v>[S05_InherentCarbonTransferredDetail][77][ReceivingInstallationType]</v>
      </c>
    </row>
    <row r="2058" spans="1:15" x14ac:dyDescent="0.3">
      <c r="A2058" t="s">
        <v>1793</v>
      </c>
      <c r="B2058" t="s">
        <v>2167</v>
      </c>
      <c r="C2058" t="s">
        <v>2169</v>
      </c>
      <c r="D2058">
        <v>78</v>
      </c>
      <c r="E2058" t="s">
        <v>1447</v>
      </c>
      <c r="F2058" t="s">
        <v>2258</v>
      </c>
      <c r="G2058" t="s">
        <v>1737</v>
      </c>
      <c r="H2058" t="s">
        <v>1799</v>
      </c>
      <c r="I2058" t="s">
        <v>1799</v>
      </c>
      <c r="J2058" t="s">
        <v>1799</v>
      </c>
      <c r="K2058" t="s">
        <v>1799</v>
      </c>
      <c r="L2058" t="s">
        <v>1420</v>
      </c>
      <c r="M2058" t="s">
        <v>1799</v>
      </c>
      <c r="N2058" t="s">
        <v>1799</v>
      </c>
      <c r="O2058" s="184" t="str">
        <f>"["&amp;$C2058&amp;"]["&amp;$D2058&amp;"]["&amp;$F2058&amp;"]"</f>
        <v>[S05_InherentCarbonTransferredDetail][78][ReceivingInstallationType]</v>
      </c>
    </row>
    <row r="2059" spans="1:15" x14ac:dyDescent="0.3">
      <c r="A2059" t="s">
        <v>1793</v>
      </c>
      <c r="B2059" t="s">
        <v>2167</v>
      </c>
      <c r="C2059" t="s">
        <v>2169</v>
      </c>
      <c r="D2059">
        <v>79</v>
      </c>
      <c r="E2059" t="s">
        <v>1447</v>
      </c>
      <c r="F2059" t="s">
        <v>2258</v>
      </c>
      <c r="G2059" t="s">
        <v>1737</v>
      </c>
      <c r="H2059" t="s">
        <v>1799</v>
      </c>
      <c r="I2059" t="s">
        <v>1799</v>
      </c>
      <c r="J2059" t="s">
        <v>1799</v>
      </c>
      <c r="K2059" t="s">
        <v>1799</v>
      </c>
      <c r="L2059" t="s">
        <v>1622</v>
      </c>
      <c r="M2059" t="s">
        <v>1799</v>
      </c>
      <c r="N2059" t="s">
        <v>1799</v>
      </c>
      <c r="O2059" s="184" t="str">
        <f>"["&amp;$C2059&amp;"]["&amp;$D2059&amp;"]["&amp;$F2059&amp;"]"</f>
        <v>[S05_InherentCarbonTransferredDetail][79][ReceivingInstallationType]</v>
      </c>
    </row>
    <row r="2060" spans="1:15" x14ac:dyDescent="0.3">
      <c r="A2060" t="s">
        <v>1793</v>
      </c>
      <c r="B2060" t="s">
        <v>2167</v>
      </c>
      <c r="C2060" t="s">
        <v>2169</v>
      </c>
      <c r="D2060">
        <v>80</v>
      </c>
      <c r="E2060" t="s">
        <v>1447</v>
      </c>
      <c r="F2060" t="s">
        <v>2258</v>
      </c>
      <c r="G2060" t="s">
        <v>1737</v>
      </c>
      <c r="H2060" t="s">
        <v>1799</v>
      </c>
      <c r="I2060" t="s">
        <v>1799</v>
      </c>
      <c r="J2060" t="s">
        <v>1799</v>
      </c>
      <c r="K2060" t="s">
        <v>1799</v>
      </c>
      <c r="L2060" t="s">
        <v>1626</v>
      </c>
      <c r="M2060" t="s">
        <v>1799</v>
      </c>
      <c r="N2060" t="s">
        <v>1799</v>
      </c>
      <c r="O2060" s="184" t="str">
        <f>"["&amp;$C2060&amp;"]["&amp;$D2060&amp;"]["&amp;$F2060&amp;"]"</f>
        <v>[S05_InherentCarbonTransferredDetail][80][ReceivingInstallationType]</v>
      </c>
    </row>
    <row r="2061" spans="1:15" x14ac:dyDescent="0.3">
      <c r="A2061" t="s">
        <v>1793</v>
      </c>
      <c r="B2061" t="s">
        <v>2167</v>
      </c>
      <c r="C2061" t="s">
        <v>2169</v>
      </c>
      <c r="D2061">
        <v>81</v>
      </c>
      <c r="E2061" t="s">
        <v>1447</v>
      </c>
      <c r="F2061" t="s">
        <v>2258</v>
      </c>
      <c r="G2061" t="s">
        <v>1737</v>
      </c>
      <c r="H2061" t="s">
        <v>1799</v>
      </c>
      <c r="I2061" t="s">
        <v>1799</v>
      </c>
      <c r="J2061" t="s">
        <v>1799</v>
      </c>
      <c r="K2061" t="s">
        <v>1799</v>
      </c>
      <c r="L2061" t="s">
        <v>1420</v>
      </c>
      <c r="M2061" t="s">
        <v>1799</v>
      </c>
      <c r="N2061" t="s">
        <v>1799</v>
      </c>
      <c r="O2061" s="184" t="str">
        <f>"["&amp;$C2061&amp;"]["&amp;$D2061&amp;"]["&amp;$F2061&amp;"]"</f>
        <v>[S05_InherentCarbonTransferredDetail][81][ReceivingInstallationType]</v>
      </c>
    </row>
    <row r="2062" spans="1:15" x14ac:dyDescent="0.3">
      <c r="A2062" t="s">
        <v>1793</v>
      </c>
      <c r="B2062" t="s">
        <v>2167</v>
      </c>
      <c r="C2062" t="s">
        <v>2169</v>
      </c>
      <c r="D2062">
        <v>82</v>
      </c>
      <c r="E2062" t="s">
        <v>1447</v>
      </c>
      <c r="F2062" t="s">
        <v>2258</v>
      </c>
      <c r="G2062" t="s">
        <v>1737</v>
      </c>
      <c r="H2062" t="s">
        <v>1799</v>
      </c>
      <c r="I2062" t="s">
        <v>1799</v>
      </c>
      <c r="J2062" t="s">
        <v>1799</v>
      </c>
      <c r="K2062" t="s">
        <v>1799</v>
      </c>
      <c r="L2062" t="s">
        <v>1420</v>
      </c>
      <c r="M2062" t="s">
        <v>1799</v>
      </c>
      <c r="N2062" t="s">
        <v>1799</v>
      </c>
      <c r="O2062" s="184" t="str">
        <f>"["&amp;$C2062&amp;"]["&amp;$D2062&amp;"]["&amp;$F2062&amp;"]"</f>
        <v>[S05_InherentCarbonTransferredDetail][82][ReceivingInstallationType]</v>
      </c>
    </row>
    <row r="2063" spans="1:15" x14ac:dyDescent="0.3">
      <c r="A2063" t="s">
        <v>1793</v>
      </c>
      <c r="B2063" t="s">
        <v>2259</v>
      </c>
      <c r="C2063" t="s">
        <v>2260</v>
      </c>
      <c r="D2063">
        <v>0</v>
      </c>
      <c r="E2063" t="s">
        <v>1447</v>
      </c>
      <c r="F2063" t="s">
        <v>2260</v>
      </c>
      <c r="G2063" t="s">
        <v>1826</v>
      </c>
      <c r="H2063" t="s">
        <v>1799</v>
      </c>
      <c r="I2063" t="s">
        <v>1799</v>
      </c>
      <c r="J2063" t="s">
        <v>1799</v>
      </c>
      <c r="K2063" t="s">
        <v>1799</v>
      </c>
      <c r="L2063" t="s">
        <v>1419</v>
      </c>
      <c r="M2063" t="s">
        <v>1799</v>
      </c>
      <c r="N2063" t="s">
        <v>1799</v>
      </c>
      <c r="O2063" s="184" t="str">
        <f>"["&amp;$C2063&amp;"]["&amp;$D2063&amp;"]["&amp;$F2063&amp;"]"</f>
        <v>[ContinuousEmissionsMeasurement][0][ContinuousEmissionsMeasurement]</v>
      </c>
    </row>
    <row r="2064" spans="1:15" x14ac:dyDescent="0.3">
      <c r="A2064" t="s">
        <v>1793</v>
      </c>
      <c r="B2064" t="s">
        <v>2259</v>
      </c>
      <c r="C2064" t="s">
        <v>2261</v>
      </c>
      <c r="D2064">
        <v>1</v>
      </c>
      <c r="E2064" t="s">
        <v>1447</v>
      </c>
      <c r="F2064" t="s">
        <v>2262</v>
      </c>
      <c r="G2064" t="s">
        <v>1797</v>
      </c>
      <c r="H2064" t="s">
        <v>2091</v>
      </c>
      <c r="I2064" t="s">
        <v>1799</v>
      </c>
      <c r="J2064" t="s">
        <v>1799</v>
      </c>
      <c r="K2064" t="s">
        <v>1799</v>
      </c>
      <c r="L2064" t="s">
        <v>1799</v>
      </c>
      <c r="M2064" t="s">
        <v>1799</v>
      </c>
      <c r="N2064" t="s">
        <v>1799</v>
      </c>
      <c r="O2064" s="184" t="str">
        <f>"["&amp;$C2064&amp;"]["&amp;$D2064&amp;"]["&amp;$F2064&amp;"]"</f>
        <v>[S05_ContinuousEmissionsMeasurementDetail][1][InstallationIDCO2]</v>
      </c>
    </row>
    <row r="2065" spans="1:15" x14ac:dyDescent="0.3">
      <c r="A2065" t="s">
        <v>1793</v>
      </c>
      <c r="B2065" t="s">
        <v>2259</v>
      </c>
      <c r="C2065" t="s">
        <v>2261</v>
      </c>
      <c r="D2065">
        <v>2</v>
      </c>
      <c r="E2065" t="s">
        <v>1447</v>
      </c>
      <c r="F2065" t="s">
        <v>2262</v>
      </c>
      <c r="G2065" t="s">
        <v>1797</v>
      </c>
      <c r="H2065" t="s">
        <v>2092</v>
      </c>
      <c r="I2065" t="s">
        <v>1799</v>
      </c>
      <c r="J2065" t="s">
        <v>1799</v>
      </c>
      <c r="K2065" t="s">
        <v>1799</v>
      </c>
      <c r="L2065" t="s">
        <v>1799</v>
      </c>
      <c r="M2065" t="s">
        <v>1799</v>
      </c>
      <c r="N2065" t="s">
        <v>1799</v>
      </c>
      <c r="O2065" s="184" t="str">
        <f>"["&amp;$C2065&amp;"]["&amp;$D2065&amp;"]["&amp;$F2065&amp;"]"</f>
        <v>[S05_ContinuousEmissionsMeasurementDetail][2][InstallationIDCO2]</v>
      </c>
    </row>
    <row r="2066" spans="1:15" x14ac:dyDescent="0.3">
      <c r="A2066" t="s">
        <v>1793</v>
      </c>
      <c r="B2066" t="s">
        <v>2259</v>
      </c>
      <c r="C2066" t="s">
        <v>2261</v>
      </c>
      <c r="D2066">
        <v>3</v>
      </c>
      <c r="E2066" t="s">
        <v>1447</v>
      </c>
      <c r="F2066" t="s">
        <v>2262</v>
      </c>
      <c r="G2066" t="s">
        <v>1797</v>
      </c>
      <c r="H2066" t="s">
        <v>2094</v>
      </c>
      <c r="I2066" t="s">
        <v>1799</v>
      </c>
      <c r="J2066" t="s">
        <v>1799</v>
      </c>
      <c r="K2066" t="s">
        <v>1799</v>
      </c>
      <c r="L2066" t="s">
        <v>1799</v>
      </c>
      <c r="M2066" t="s">
        <v>1799</v>
      </c>
      <c r="N2066" t="s">
        <v>1799</v>
      </c>
      <c r="O2066" s="184" t="str">
        <f>"["&amp;$C2066&amp;"]["&amp;$D2066&amp;"]["&amp;$F2066&amp;"]"</f>
        <v>[S05_ContinuousEmissionsMeasurementDetail][3][InstallationIDCO2]</v>
      </c>
    </row>
    <row r="2067" spans="1:15" x14ac:dyDescent="0.3">
      <c r="A2067" t="s">
        <v>1793</v>
      </c>
      <c r="B2067" t="s">
        <v>2259</v>
      </c>
      <c r="C2067" t="s">
        <v>2261</v>
      </c>
      <c r="D2067">
        <v>4</v>
      </c>
      <c r="E2067" t="s">
        <v>1447</v>
      </c>
      <c r="F2067" t="s">
        <v>2262</v>
      </c>
      <c r="G2067" t="s">
        <v>1797</v>
      </c>
      <c r="H2067" t="s">
        <v>2263</v>
      </c>
      <c r="I2067" t="s">
        <v>1799</v>
      </c>
      <c r="J2067" t="s">
        <v>1799</v>
      </c>
      <c r="K2067" t="s">
        <v>1799</v>
      </c>
      <c r="L2067" t="s">
        <v>1799</v>
      </c>
      <c r="M2067" t="s">
        <v>1799</v>
      </c>
      <c r="N2067" t="s">
        <v>1799</v>
      </c>
      <c r="O2067" s="184" t="str">
        <f>"["&amp;$C2067&amp;"]["&amp;$D2067&amp;"]["&amp;$F2067&amp;"]"</f>
        <v>[S05_ContinuousEmissionsMeasurementDetail][4][InstallationIDCO2]</v>
      </c>
    </row>
    <row r="2068" spans="1:15" x14ac:dyDescent="0.3">
      <c r="A2068" t="s">
        <v>1793</v>
      </c>
      <c r="B2068" t="s">
        <v>2259</v>
      </c>
      <c r="C2068" t="s">
        <v>2261</v>
      </c>
      <c r="D2068">
        <v>5</v>
      </c>
      <c r="E2068" t="s">
        <v>1447</v>
      </c>
      <c r="F2068" t="s">
        <v>2262</v>
      </c>
      <c r="G2068" t="s">
        <v>1797</v>
      </c>
      <c r="H2068" t="s">
        <v>2264</v>
      </c>
      <c r="I2068" t="s">
        <v>1799</v>
      </c>
      <c r="J2068" t="s">
        <v>1799</v>
      </c>
      <c r="K2068" t="s">
        <v>1799</v>
      </c>
      <c r="L2068" t="s">
        <v>1799</v>
      </c>
      <c r="M2068" t="s">
        <v>1799</v>
      </c>
      <c r="N2068" t="s">
        <v>1799</v>
      </c>
      <c r="O2068" s="184" t="str">
        <f>"["&amp;$C2068&amp;"]["&amp;$D2068&amp;"]["&amp;$F2068&amp;"]"</f>
        <v>[S05_ContinuousEmissionsMeasurementDetail][5][InstallationIDCO2]</v>
      </c>
    </row>
    <row r="2069" spans="1:15" x14ac:dyDescent="0.3">
      <c r="A2069" t="s">
        <v>1793</v>
      </c>
      <c r="B2069" t="s">
        <v>2259</v>
      </c>
      <c r="C2069" t="s">
        <v>2261</v>
      </c>
      <c r="D2069">
        <v>6</v>
      </c>
      <c r="E2069" t="s">
        <v>1447</v>
      </c>
      <c r="F2069" t="s">
        <v>2262</v>
      </c>
      <c r="G2069" t="s">
        <v>1797</v>
      </c>
      <c r="H2069" t="s">
        <v>2265</v>
      </c>
      <c r="I2069" t="s">
        <v>1799</v>
      </c>
      <c r="J2069" t="s">
        <v>1799</v>
      </c>
      <c r="K2069" t="s">
        <v>1799</v>
      </c>
      <c r="L2069" t="s">
        <v>1799</v>
      </c>
      <c r="M2069" t="s">
        <v>1799</v>
      </c>
      <c r="N2069" t="s">
        <v>1799</v>
      </c>
      <c r="O2069" s="184" t="str">
        <f>"["&amp;$C2069&amp;"]["&amp;$D2069&amp;"]["&amp;$F2069&amp;"]"</f>
        <v>[S05_ContinuousEmissionsMeasurementDetail][6][InstallationIDCO2]</v>
      </c>
    </row>
    <row r="2070" spans="1:15" x14ac:dyDescent="0.3">
      <c r="A2070" t="s">
        <v>1793</v>
      </c>
      <c r="B2070" t="s">
        <v>2259</v>
      </c>
      <c r="C2070" t="s">
        <v>2261</v>
      </c>
      <c r="D2070">
        <v>7</v>
      </c>
      <c r="E2070" t="s">
        <v>1447</v>
      </c>
      <c r="F2070" t="s">
        <v>2262</v>
      </c>
      <c r="G2070" t="s">
        <v>1797</v>
      </c>
      <c r="H2070" t="s">
        <v>2095</v>
      </c>
      <c r="I2070" t="s">
        <v>1799</v>
      </c>
      <c r="J2070" t="s">
        <v>1799</v>
      </c>
      <c r="K2070" t="s">
        <v>1799</v>
      </c>
      <c r="L2070" t="s">
        <v>1799</v>
      </c>
      <c r="M2070" t="s">
        <v>1799</v>
      </c>
      <c r="N2070" t="s">
        <v>1799</v>
      </c>
      <c r="O2070" s="184" t="str">
        <f>"["&amp;$C2070&amp;"]["&amp;$D2070&amp;"]["&amp;$F2070&amp;"]"</f>
        <v>[S05_ContinuousEmissionsMeasurementDetail][7][InstallationIDCO2]</v>
      </c>
    </row>
    <row r="2071" spans="1:15" x14ac:dyDescent="0.3">
      <c r="A2071" t="s">
        <v>1793</v>
      </c>
      <c r="B2071" t="s">
        <v>2259</v>
      </c>
      <c r="C2071" t="s">
        <v>2261</v>
      </c>
      <c r="D2071">
        <v>8</v>
      </c>
      <c r="E2071" t="s">
        <v>1447</v>
      </c>
      <c r="F2071" t="s">
        <v>2262</v>
      </c>
      <c r="G2071" t="s">
        <v>1797</v>
      </c>
      <c r="H2071" t="s">
        <v>2096</v>
      </c>
      <c r="I2071" t="s">
        <v>1799</v>
      </c>
      <c r="J2071" t="s">
        <v>1799</v>
      </c>
      <c r="K2071" t="s">
        <v>1799</v>
      </c>
      <c r="L2071" t="s">
        <v>1799</v>
      </c>
      <c r="M2071" t="s">
        <v>1799</v>
      </c>
      <c r="N2071" t="s">
        <v>1799</v>
      </c>
      <c r="O2071" s="184" t="str">
        <f>"["&amp;$C2071&amp;"]["&amp;$D2071&amp;"]["&amp;$F2071&amp;"]"</f>
        <v>[S05_ContinuousEmissionsMeasurementDetail][8][InstallationIDCO2]</v>
      </c>
    </row>
    <row r="2072" spans="1:15" x14ac:dyDescent="0.3">
      <c r="A2072" t="s">
        <v>1793</v>
      </c>
      <c r="B2072" t="s">
        <v>2259</v>
      </c>
      <c r="C2072" t="s">
        <v>2261</v>
      </c>
      <c r="D2072">
        <v>9</v>
      </c>
      <c r="E2072" t="s">
        <v>1447</v>
      </c>
      <c r="F2072" t="s">
        <v>2262</v>
      </c>
      <c r="G2072" t="s">
        <v>1797</v>
      </c>
      <c r="H2072" t="s">
        <v>2097</v>
      </c>
      <c r="I2072" t="s">
        <v>1799</v>
      </c>
      <c r="J2072" t="s">
        <v>1799</v>
      </c>
      <c r="K2072" t="s">
        <v>1799</v>
      </c>
      <c r="L2072" t="s">
        <v>1799</v>
      </c>
      <c r="M2072" t="s">
        <v>1799</v>
      </c>
      <c r="N2072" t="s">
        <v>1799</v>
      </c>
      <c r="O2072" s="184" t="str">
        <f>"["&amp;$C2072&amp;"]["&amp;$D2072&amp;"]["&amp;$F2072&amp;"]"</f>
        <v>[S05_ContinuousEmissionsMeasurementDetail][9][InstallationIDCO2]</v>
      </c>
    </row>
    <row r="2073" spans="1:15" x14ac:dyDescent="0.3">
      <c r="A2073" t="s">
        <v>1793</v>
      </c>
      <c r="B2073" t="s">
        <v>2259</v>
      </c>
      <c r="C2073" t="s">
        <v>2261</v>
      </c>
      <c r="D2073">
        <v>10</v>
      </c>
      <c r="E2073" t="s">
        <v>1447</v>
      </c>
      <c r="F2073" t="s">
        <v>2262</v>
      </c>
      <c r="G2073" t="s">
        <v>1797</v>
      </c>
      <c r="H2073" t="s">
        <v>2098</v>
      </c>
      <c r="I2073" t="s">
        <v>1799</v>
      </c>
      <c r="J2073" t="s">
        <v>1799</v>
      </c>
      <c r="K2073" t="s">
        <v>1799</v>
      </c>
      <c r="L2073" t="s">
        <v>1799</v>
      </c>
      <c r="M2073" t="s">
        <v>1799</v>
      </c>
      <c r="N2073" t="s">
        <v>1799</v>
      </c>
      <c r="O2073" s="184" t="str">
        <f>"["&amp;$C2073&amp;"]["&amp;$D2073&amp;"]["&amp;$F2073&amp;"]"</f>
        <v>[S05_ContinuousEmissionsMeasurementDetail][10][InstallationIDCO2]</v>
      </c>
    </row>
    <row r="2074" spans="1:15" x14ac:dyDescent="0.3">
      <c r="A2074" t="s">
        <v>1793</v>
      </c>
      <c r="B2074" t="s">
        <v>2259</v>
      </c>
      <c r="C2074" t="s">
        <v>2261</v>
      </c>
      <c r="D2074">
        <v>11</v>
      </c>
      <c r="E2074" t="s">
        <v>1447</v>
      </c>
      <c r="F2074" t="s">
        <v>2262</v>
      </c>
      <c r="G2074" t="s">
        <v>1797</v>
      </c>
      <c r="H2074" t="s">
        <v>2266</v>
      </c>
      <c r="I2074" t="s">
        <v>1799</v>
      </c>
      <c r="J2074" t="s">
        <v>1799</v>
      </c>
      <c r="K2074" t="s">
        <v>1799</v>
      </c>
      <c r="L2074" t="s">
        <v>1799</v>
      </c>
      <c r="M2074" t="s">
        <v>1799</v>
      </c>
      <c r="N2074" t="s">
        <v>1799</v>
      </c>
      <c r="O2074" s="184" t="str">
        <f>"["&amp;$C2074&amp;"]["&amp;$D2074&amp;"]["&amp;$F2074&amp;"]"</f>
        <v>[S05_ContinuousEmissionsMeasurementDetail][11][InstallationIDCO2]</v>
      </c>
    </row>
    <row r="2075" spans="1:15" x14ac:dyDescent="0.3">
      <c r="A2075" t="s">
        <v>1793</v>
      </c>
      <c r="B2075" t="s">
        <v>2259</v>
      </c>
      <c r="C2075" t="s">
        <v>2261</v>
      </c>
      <c r="D2075">
        <v>12</v>
      </c>
      <c r="E2075" t="s">
        <v>1447</v>
      </c>
      <c r="F2075" t="s">
        <v>2262</v>
      </c>
      <c r="G2075" t="s">
        <v>1797</v>
      </c>
      <c r="H2075" t="s">
        <v>2267</v>
      </c>
      <c r="I2075" t="s">
        <v>1799</v>
      </c>
      <c r="J2075" t="s">
        <v>1799</v>
      </c>
      <c r="K2075" t="s">
        <v>1799</v>
      </c>
      <c r="L2075" t="s">
        <v>1799</v>
      </c>
      <c r="M2075" t="s">
        <v>1799</v>
      </c>
      <c r="N2075" t="s">
        <v>1799</v>
      </c>
      <c r="O2075" s="184" t="str">
        <f>"["&amp;$C2075&amp;"]["&amp;$D2075&amp;"]["&amp;$F2075&amp;"]"</f>
        <v>[S05_ContinuousEmissionsMeasurementDetail][12][InstallationIDCO2]</v>
      </c>
    </row>
    <row r="2076" spans="1:15" x14ac:dyDescent="0.3">
      <c r="A2076" t="s">
        <v>1793</v>
      </c>
      <c r="B2076" t="s">
        <v>2259</v>
      </c>
      <c r="C2076" t="s">
        <v>2261</v>
      </c>
      <c r="D2076">
        <v>13</v>
      </c>
      <c r="E2076" t="s">
        <v>1447</v>
      </c>
      <c r="F2076" t="s">
        <v>2262</v>
      </c>
      <c r="G2076" t="s">
        <v>1797</v>
      </c>
      <c r="H2076" t="s">
        <v>2268</v>
      </c>
      <c r="I2076" t="s">
        <v>1799</v>
      </c>
      <c r="J2076" t="s">
        <v>1799</v>
      </c>
      <c r="K2076" t="s">
        <v>1799</v>
      </c>
      <c r="L2076" t="s">
        <v>1799</v>
      </c>
      <c r="M2076" t="s">
        <v>1799</v>
      </c>
      <c r="N2076" t="s">
        <v>1799</v>
      </c>
      <c r="O2076" s="184" t="str">
        <f>"["&amp;$C2076&amp;"]["&amp;$D2076&amp;"]["&amp;$F2076&amp;"]"</f>
        <v>[S05_ContinuousEmissionsMeasurementDetail][13][InstallationIDCO2]</v>
      </c>
    </row>
    <row r="2077" spans="1:15" x14ac:dyDescent="0.3">
      <c r="A2077" t="s">
        <v>1793</v>
      </c>
      <c r="B2077" t="s">
        <v>2259</v>
      </c>
      <c r="C2077" t="s">
        <v>2261</v>
      </c>
      <c r="D2077">
        <v>14</v>
      </c>
      <c r="E2077" t="s">
        <v>1447</v>
      </c>
      <c r="F2077" t="s">
        <v>2262</v>
      </c>
      <c r="G2077" t="s">
        <v>1797</v>
      </c>
      <c r="H2077" t="s">
        <v>2205</v>
      </c>
      <c r="I2077" t="s">
        <v>1799</v>
      </c>
      <c r="J2077" t="s">
        <v>1799</v>
      </c>
      <c r="K2077" t="s">
        <v>1799</v>
      </c>
      <c r="L2077" t="s">
        <v>1799</v>
      </c>
      <c r="M2077" t="s">
        <v>1799</v>
      </c>
      <c r="N2077" t="s">
        <v>1799</v>
      </c>
      <c r="O2077" s="184" t="str">
        <f>"["&amp;$C2077&amp;"]["&amp;$D2077&amp;"]["&amp;$F2077&amp;"]"</f>
        <v>[S05_ContinuousEmissionsMeasurementDetail][14][InstallationIDCO2]</v>
      </c>
    </row>
    <row r="2078" spans="1:15" x14ac:dyDescent="0.3">
      <c r="A2078" t="s">
        <v>1793</v>
      </c>
      <c r="B2078" t="s">
        <v>2259</v>
      </c>
      <c r="C2078" t="s">
        <v>2261</v>
      </c>
      <c r="D2078">
        <v>15</v>
      </c>
      <c r="E2078" t="s">
        <v>1447</v>
      </c>
      <c r="F2078" t="s">
        <v>2262</v>
      </c>
      <c r="G2078" t="s">
        <v>1797</v>
      </c>
      <c r="H2078" t="s">
        <v>2254</v>
      </c>
      <c r="I2078" t="s">
        <v>1799</v>
      </c>
      <c r="J2078" t="s">
        <v>1799</v>
      </c>
      <c r="K2078" t="s">
        <v>1799</v>
      </c>
      <c r="L2078" t="s">
        <v>1799</v>
      </c>
      <c r="M2078" t="s">
        <v>1799</v>
      </c>
      <c r="N2078" t="s">
        <v>1799</v>
      </c>
      <c r="O2078" s="184" t="str">
        <f>"["&amp;$C2078&amp;"]["&amp;$D2078&amp;"]["&amp;$F2078&amp;"]"</f>
        <v>[S05_ContinuousEmissionsMeasurementDetail][15][InstallationIDCO2]</v>
      </c>
    </row>
    <row r="2079" spans="1:15" x14ac:dyDescent="0.3">
      <c r="A2079" t="s">
        <v>1793</v>
      </c>
      <c r="B2079" t="s">
        <v>2259</v>
      </c>
      <c r="C2079" t="s">
        <v>2261</v>
      </c>
      <c r="D2079">
        <v>16</v>
      </c>
      <c r="E2079" t="s">
        <v>1447</v>
      </c>
      <c r="F2079" t="s">
        <v>2262</v>
      </c>
      <c r="G2079" t="s">
        <v>1797</v>
      </c>
      <c r="H2079" t="s">
        <v>2269</v>
      </c>
      <c r="I2079" t="s">
        <v>1799</v>
      </c>
      <c r="J2079" t="s">
        <v>1799</v>
      </c>
      <c r="K2079" t="s">
        <v>1799</v>
      </c>
      <c r="L2079" t="s">
        <v>1799</v>
      </c>
      <c r="M2079" t="s">
        <v>1799</v>
      </c>
      <c r="N2079" t="s">
        <v>1799</v>
      </c>
      <c r="O2079" s="184" t="str">
        <f>"["&amp;$C2079&amp;"]["&amp;$D2079&amp;"]["&amp;$F2079&amp;"]"</f>
        <v>[S05_ContinuousEmissionsMeasurementDetail][16][InstallationIDCO2]</v>
      </c>
    </row>
    <row r="2080" spans="1:15" x14ac:dyDescent="0.3">
      <c r="A2080" t="s">
        <v>1793</v>
      </c>
      <c r="B2080" t="s">
        <v>2259</v>
      </c>
      <c r="C2080" t="s">
        <v>2261</v>
      </c>
      <c r="D2080">
        <v>17</v>
      </c>
      <c r="E2080" t="s">
        <v>1447</v>
      </c>
      <c r="F2080" t="s">
        <v>2262</v>
      </c>
      <c r="G2080" t="s">
        <v>1797</v>
      </c>
      <c r="H2080" t="s">
        <v>2255</v>
      </c>
      <c r="I2080" t="s">
        <v>1799</v>
      </c>
      <c r="J2080" t="s">
        <v>1799</v>
      </c>
      <c r="K2080" t="s">
        <v>1799</v>
      </c>
      <c r="L2080" t="s">
        <v>1799</v>
      </c>
      <c r="M2080" t="s">
        <v>1799</v>
      </c>
      <c r="N2080" t="s">
        <v>1799</v>
      </c>
      <c r="O2080" s="184" t="str">
        <f>"["&amp;$C2080&amp;"]["&amp;$D2080&amp;"]["&amp;$F2080&amp;"]"</f>
        <v>[S05_ContinuousEmissionsMeasurementDetail][17][InstallationIDCO2]</v>
      </c>
    </row>
    <row r="2081" spans="1:15" x14ac:dyDescent="0.3">
      <c r="A2081" t="s">
        <v>1793</v>
      </c>
      <c r="B2081" t="s">
        <v>2259</v>
      </c>
      <c r="C2081" t="s">
        <v>2261</v>
      </c>
      <c r="D2081">
        <v>18</v>
      </c>
      <c r="E2081" t="s">
        <v>1447</v>
      </c>
      <c r="F2081" t="s">
        <v>2262</v>
      </c>
      <c r="G2081" t="s">
        <v>1797</v>
      </c>
      <c r="H2081" t="s">
        <v>2206</v>
      </c>
      <c r="I2081" t="s">
        <v>1799</v>
      </c>
      <c r="J2081" t="s">
        <v>1799</v>
      </c>
      <c r="K2081" t="s">
        <v>1799</v>
      </c>
      <c r="L2081" t="s">
        <v>1799</v>
      </c>
      <c r="M2081" t="s">
        <v>1799</v>
      </c>
      <c r="N2081" t="s">
        <v>1799</v>
      </c>
      <c r="O2081" s="184" t="str">
        <f>"["&amp;$C2081&amp;"]["&amp;$D2081&amp;"]["&amp;$F2081&amp;"]"</f>
        <v>[S05_ContinuousEmissionsMeasurementDetail][18][InstallationIDCO2]</v>
      </c>
    </row>
    <row r="2082" spans="1:15" x14ac:dyDescent="0.3">
      <c r="A2082" t="s">
        <v>1793</v>
      </c>
      <c r="B2082" t="s">
        <v>2259</v>
      </c>
      <c r="C2082" t="s">
        <v>2261</v>
      </c>
      <c r="D2082">
        <v>19</v>
      </c>
      <c r="E2082" t="s">
        <v>1447</v>
      </c>
      <c r="F2082" t="s">
        <v>2262</v>
      </c>
      <c r="G2082" t="s">
        <v>1797</v>
      </c>
      <c r="H2082" t="s">
        <v>2270</v>
      </c>
      <c r="I2082" t="s">
        <v>1799</v>
      </c>
      <c r="J2082" t="s">
        <v>1799</v>
      </c>
      <c r="K2082" t="s">
        <v>1799</v>
      </c>
      <c r="L2082" t="s">
        <v>1799</v>
      </c>
      <c r="M2082" t="s">
        <v>1799</v>
      </c>
      <c r="N2082" t="s">
        <v>1799</v>
      </c>
      <c r="O2082" s="184" t="str">
        <f>"["&amp;$C2082&amp;"]["&amp;$D2082&amp;"]["&amp;$F2082&amp;"]"</f>
        <v>[S05_ContinuousEmissionsMeasurementDetail][19][InstallationIDCO2]</v>
      </c>
    </row>
    <row r="2083" spans="1:15" x14ac:dyDescent="0.3">
      <c r="A2083" t="s">
        <v>1793</v>
      </c>
      <c r="B2083" t="s">
        <v>2259</v>
      </c>
      <c r="C2083" t="s">
        <v>2261</v>
      </c>
      <c r="D2083">
        <v>20</v>
      </c>
      <c r="E2083" t="s">
        <v>1447</v>
      </c>
      <c r="F2083" t="s">
        <v>2262</v>
      </c>
      <c r="G2083" t="s">
        <v>1797</v>
      </c>
      <c r="H2083" t="s">
        <v>2271</v>
      </c>
      <c r="I2083" t="s">
        <v>1799</v>
      </c>
      <c r="J2083" t="s">
        <v>1799</v>
      </c>
      <c r="K2083" t="s">
        <v>1799</v>
      </c>
      <c r="L2083" t="s">
        <v>1799</v>
      </c>
      <c r="M2083" t="s">
        <v>1799</v>
      </c>
      <c r="N2083" t="s">
        <v>1799</v>
      </c>
      <c r="O2083" s="184" t="str">
        <f>"["&amp;$C2083&amp;"]["&amp;$D2083&amp;"]["&amp;$F2083&amp;"]"</f>
        <v>[S05_ContinuousEmissionsMeasurementDetail][20][InstallationIDCO2]</v>
      </c>
    </row>
    <row r="2084" spans="1:15" x14ac:dyDescent="0.3">
      <c r="A2084" t="s">
        <v>1793</v>
      </c>
      <c r="B2084" t="s">
        <v>2259</v>
      </c>
      <c r="C2084" t="s">
        <v>2261</v>
      </c>
      <c r="D2084">
        <v>21</v>
      </c>
      <c r="E2084" t="s">
        <v>1447</v>
      </c>
      <c r="F2084" t="s">
        <v>2262</v>
      </c>
      <c r="G2084" t="s">
        <v>1797</v>
      </c>
      <c r="H2084" t="s">
        <v>2272</v>
      </c>
      <c r="I2084" t="s">
        <v>1799</v>
      </c>
      <c r="J2084" t="s">
        <v>1799</v>
      </c>
      <c r="K2084" t="s">
        <v>1799</v>
      </c>
      <c r="L2084" t="s">
        <v>1799</v>
      </c>
      <c r="M2084" t="s">
        <v>1799</v>
      </c>
      <c r="N2084" t="s">
        <v>1799</v>
      </c>
      <c r="O2084" s="184" t="str">
        <f>"["&amp;$C2084&amp;"]["&amp;$D2084&amp;"]["&amp;$F2084&amp;"]"</f>
        <v>[S05_ContinuousEmissionsMeasurementDetail][21][InstallationIDCO2]</v>
      </c>
    </row>
    <row r="2085" spans="1:15" x14ac:dyDescent="0.3">
      <c r="A2085" t="s">
        <v>1793</v>
      </c>
      <c r="B2085" t="s">
        <v>2259</v>
      </c>
      <c r="C2085" t="s">
        <v>2261</v>
      </c>
      <c r="D2085">
        <v>22</v>
      </c>
      <c r="E2085" t="s">
        <v>1447</v>
      </c>
      <c r="F2085" t="s">
        <v>2262</v>
      </c>
      <c r="G2085" t="s">
        <v>1797</v>
      </c>
      <c r="H2085" t="s">
        <v>2273</v>
      </c>
      <c r="I2085" t="s">
        <v>1799</v>
      </c>
      <c r="J2085" t="s">
        <v>1799</v>
      </c>
      <c r="K2085" t="s">
        <v>1799</v>
      </c>
      <c r="L2085" t="s">
        <v>1799</v>
      </c>
      <c r="M2085" t="s">
        <v>1799</v>
      </c>
      <c r="N2085" t="s">
        <v>1799</v>
      </c>
      <c r="O2085" s="184" t="str">
        <f>"["&amp;$C2085&amp;"]["&amp;$D2085&amp;"]["&amp;$F2085&amp;"]"</f>
        <v>[S05_ContinuousEmissionsMeasurementDetail][22][InstallationIDCO2]</v>
      </c>
    </row>
    <row r="2086" spans="1:15" x14ac:dyDescent="0.3">
      <c r="A2086" t="s">
        <v>1793</v>
      </c>
      <c r="B2086" t="s">
        <v>2259</v>
      </c>
      <c r="C2086" t="s">
        <v>2261</v>
      </c>
      <c r="D2086">
        <v>23</v>
      </c>
      <c r="E2086" t="s">
        <v>1447</v>
      </c>
      <c r="F2086" t="s">
        <v>2262</v>
      </c>
      <c r="G2086" t="s">
        <v>1797</v>
      </c>
      <c r="H2086" t="s">
        <v>2274</v>
      </c>
      <c r="I2086" t="s">
        <v>1799</v>
      </c>
      <c r="J2086" t="s">
        <v>1799</v>
      </c>
      <c r="K2086" t="s">
        <v>1799</v>
      </c>
      <c r="L2086" t="s">
        <v>1799</v>
      </c>
      <c r="M2086" t="s">
        <v>1799</v>
      </c>
      <c r="N2086" t="s">
        <v>1799</v>
      </c>
      <c r="O2086" s="184" t="str">
        <f>"["&amp;$C2086&amp;"]["&amp;$D2086&amp;"]["&amp;$F2086&amp;"]"</f>
        <v>[S05_ContinuousEmissionsMeasurementDetail][23][InstallationIDCO2]</v>
      </c>
    </row>
    <row r="2087" spans="1:15" x14ac:dyDescent="0.3">
      <c r="A2087" t="s">
        <v>1793</v>
      </c>
      <c r="B2087" t="s">
        <v>2259</v>
      </c>
      <c r="C2087" t="s">
        <v>2261</v>
      </c>
      <c r="D2087">
        <v>24</v>
      </c>
      <c r="E2087" t="s">
        <v>1447</v>
      </c>
      <c r="F2087" t="s">
        <v>2262</v>
      </c>
      <c r="G2087" t="s">
        <v>1797</v>
      </c>
      <c r="H2087" t="s">
        <v>2275</v>
      </c>
      <c r="I2087" t="s">
        <v>1799</v>
      </c>
      <c r="J2087" t="s">
        <v>1799</v>
      </c>
      <c r="K2087" t="s">
        <v>1799</v>
      </c>
      <c r="L2087" t="s">
        <v>1799</v>
      </c>
      <c r="M2087" t="s">
        <v>1799</v>
      </c>
      <c r="N2087" t="s">
        <v>1799</v>
      </c>
      <c r="O2087" s="184" t="str">
        <f>"["&amp;$C2087&amp;"]["&amp;$D2087&amp;"]["&amp;$F2087&amp;"]"</f>
        <v>[S05_ContinuousEmissionsMeasurementDetail][24][InstallationIDCO2]</v>
      </c>
    </row>
    <row r="2088" spans="1:15" x14ac:dyDescent="0.3">
      <c r="A2088" t="s">
        <v>1793</v>
      </c>
      <c r="B2088" t="s">
        <v>2259</v>
      </c>
      <c r="C2088" t="s">
        <v>2261</v>
      </c>
      <c r="D2088">
        <v>25</v>
      </c>
      <c r="E2088" t="s">
        <v>1447</v>
      </c>
      <c r="F2088" t="s">
        <v>2262</v>
      </c>
      <c r="G2088" t="s">
        <v>1797</v>
      </c>
      <c r="H2088" t="s">
        <v>2276</v>
      </c>
      <c r="I2088" t="s">
        <v>1799</v>
      </c>
      <c r="J2088" t="s">
        <v>1799</v>
      </c>
      <c r="K2088" t="s">
        <v>1799</v>
      </c>
      <c r="L2088" t="s">
        <v>1799</v>
      </c>
      <c r="M2088" t="s">
        <v>1799</v>
      </c>
      <c r="N2088" t="s">
        <v>1799</v>
      </c>
      <c r="O2088" s="184" t="str">
        <f>"["&amp;$C2088&amp;"]["&amp;$D2088&amp;"]["&amp;$F2088&amp;"]"</f>
        <v>[S05_ContinuousEmissionsMeasurementDetail][25][InstallationIDCO2]</v>
      </c>
    </row>
    <row r="2089" spans="1:15" x14ac:dyDescent="0.3">
      <c r="A2089" t="s">
        <v>1793</v>
      </c>
      <c r="B2089" t="s">
        <v>2259</v>
      </c>
      <c r="C2089" t="s">
        <v>2261</v>
      </c>
      <c r="D2089">
        <v>26</v>
      </c>
      <c r="E2089" t="s">
        <v>1447</v>
      </c>
      <c r="F2089" t="s">
        <v>2262</v>
      </c>
      <c r="G2089" t="s">
        <v>1797</v>
      </c>
      <c r="H2089" t="s">
        <v>2277</v>
      </c>
      <c r="I2089" t="s">
        <v>1799</v>
      </c>
      <c r="J2089" t="s">
        <v>1799</v>
      </c>
      <c r="K2089" t="s">
        <v>1799</v>
      </c>
      <c r="L2089" t="s">
        <v>1799</v>
      </c>
      <c r="M2089" t="s">
        <v>1799</v>
      </c>
      <c r="N2089" t="s">
        <v>1799</v>
      </c>
      <c r="O2089" s="184" t="str">
        <f>"["&amp;$C2089&amp;"]["&amp;$D2089&amp;"]["&amp;$F2089&amp;"]"</f>
        <v>[S05_ContinuousEmissionsMeasurementDetail][26][InstallationIDCO2]</v>
      </c>
    </row>
    <row r="2090" spans="1:15" x14ac:dyDescent="0.3">
      <c r="A2090" t="s">
        <v>1793</v>
      </c>
      <c r="B2090" t="s">
        <v>2259</v>
      </c>
      <c r="C2090" t="s">
        <v>2261</v>
      </c>
      <c r="D2090">
        <v>27</v>
      </c>
      <c r="E2090" t="s">
        <v>1447</v>
      </c>
      <c r="F2090" t="s">
        <v>2262</v>
      </c>
      <c r="G2090" t="s">
        <v>1797</v>
      </c>
      <c r="H2090" t="s">
        <v>2278</v>
      </c>
      <c r="I2090" t="s">
        <v>1799</v>
      </c>
      <c r="J2090" t="s">
        <v>1799</v>
      </c>
      <c r="K2090" t="s">
        <v>1799</v>
      </c>
      <c r="L2090" t="s">
        <v>1799</v>
      </c>
      <c r="M2090" t="s">
        <v>1799</v>
      </c>
      <c r="N2090" t="s">
        <v>1799</v>
      </c>
      <c r="O2090" s="184" t="str">
        <f>"["&amp;$C2090&amp;"]["&amp;$D2090&amp;"]["&amp;$F2090&amp;"]"</f>
        <v>[S05_ContinuousEmissionsMeasurementDetail][27][InstallationIDCO2]</v>
      </c>
    </row>
    <row r="2091" spans="1:15" x14ac:dyDescent="0.3">
      <c r="A2091" t="s">
        <v>1793</v>
      </c>
      <c r="B2091" t="s">
        <v>2259</v>
      </c>
      <c r="C2091" t="s">
        <v>2261</v>
      </c>
      <c r="D2091">
        <v>28</v>
      </c>
      <c r="E2091" t="s">
        <v>1447</v>
      </c>
      <c r="F2091" t="s">
        <v>2279</v>
      </c>
      <c r="G2091" t="s">
        <v>1797</v>
      </c>
      <c r="H2091" t="s">
        <v>2280</v>
      </c>
      <c r="I2091" t="s">
        <v>1799</v>
      </c>
      <c r="J2091" t="s">
        <v>1799</v>
      </c>
      <c r="K2091" t="s">
        <v>1799</v>
      </c>
      <c r="L2091" t="s">
        <v>1799</v>
      </c>
      <c r="M2091" t="s">
        <v>1799</v>
      </c>
      <c r="N2091" t="s">
        <v>1799</v>
      </c>
      <c r="O2091" s="184" t="str">
        <f>"["&amp;$C2091&amp;"]["&amp;$D2091&amp;"]["&amp;$F2091&amp;"]"</f>
        <v>[S05_ContinuousEmissionsMeasurementDetail][28][InstallationIDN2O]</v>
      </c>
    </row>
    <row r="2092" spans="1:15" x14ac:dyDescent="0.3">
      <c r="A2092" t="s">
        <v>1793</v>
      </c>
      <c r="B2092" t="s">
        <v>2259</v>
      </c>
      <c r="C2092" t="s">
        <v>2261</v>
      </c>
      <c r="D2092">
        <v>29</v>
      </c>
      <c r="E2092" t="s">
        <v>1447</v>
      </c>
      <c r="F2092" t="s">
        <v>2279</v>
      </c>
      <c r="G2092" t="s">
        <v>1797</v>
      </c>
      <c r="H2092" t="s">
        <v>2281</v>
      </c>
      <c r="I2092" t="s">
        <v>1799</v>
      </c>
      <c r="J2092" t="s">
        <v>1799</v>
      </c>
      <c r="K2092" t="s">
        <v>1799</v>
      </c>
      <c r="L2092" t="s">
        <v>1799</v>
      </c>
      <c r="M2092" t="s">
        <v>1799</v>
      </c>
      <c r="N2092" t="s">
        <v>1799</v>
      </c>
      <c r="O2092" s="184" t="str">
        <f>"["&amp;$C2092&amp;"]["&amp;$D2092&amp;"]["&amp;$F2092&amp;"]"</f>
        <v>[S05_ContinuousEmissionsMeasurementDetail][29][InstallationIDN2O]</v>
      </c>
    </row>
    <row r="2093" spans="1:15" x14ac:dyDescent="0.3">
      <c r="A2093" t="s">
        <v>1793</v>
      </c>
      <c r="B2093" t="s">
        <v>2259</v>
      </c>
      <c r="C2093" t="s">
        <v>2261</v>
      </c>
      <c r="D2093">
        <v>30</v>
      </c>
      <c r="E2093" t="s">
        <v>1447</v>
      </c>
      <c r="F2093" t="s">
        <v>2279</v>
      </c>
      <c r="G2093" t="s">
        <v>1797</v>
      </c>
      <c r="H2093" t="s">
        <v>2282</v>
      </c>
      <c r="I2093" t="s">
        <v>1799</v>
      </c>
      <c r="J2093" t="s">
        <v>1799</v>
      </c>
      <c r="K2093" t="s">
        <v>1799</v>
      </c>
      <c r="L2093" t="s">
        <v>1799</v>
      </c>
      <c r="M2093" t="s">
        <v>1799</v>
      </c>
      <c r="N2093" t="s">
        <v>1799</v>
      </c>
      <c r="O2093" s="184" t="str">
        <f>"["&amp;$C2093&amp;"]["&amp;$D2093&amp;"]["&amp;$F2093&amp;"]"</f>
        <v>[S05_ContinuousEmissionsMeasurementDetail][30][InstallationIDN2O]</v>
      </c>
    </row>
    <row r="2094" spans="1:15" x14ac:dyDescent="0.3">
      <c r="A2094" t="s">
        <v>1793</v>
      </c>
      <c r="B2094" t="s">
        <v>2259</v>
      </c>
      <c r="C2094" t="s">
        <v>2261</v>
      </c>
      <c r="D2094">
        <v>31</v>
      </c>
      <c r="E2094" t="s">
        <v>1447</v>
      </c>
      <c r="F2094" t="s">
        <v>2279</v>
      </c>
      <c r="G2094" t="s">
        <v>1797</v>
      </c>
      <c r="H2094" t="s">
        <v>2283</v>
      </c>
      <c r="I2094" t="s">
        <v>1799</v>
      </c>
      <c r="J2094" t="s">
        <v>1799</v>
      </c>
      <c r="K2094" t="s">
        <v>1799</v>
      </c>
      <c r="L2094" t="s">
        <v>1799</v>
      </c>
      <c r="M2094" t="s">
        <v>1799</v>
      </c>
      <c r="N2094" t="s">
        <v>1799</v>
      </c>
      <c r="O2094" s="184" t="str">
        <f>"["&amp;$C2094&amp;"]["&amp;$D2094&amp;"]["&amp;$F2094&amp;"]"</f>
        <v>[S05_ContinuousEmissionsMeasurementDetail][31][InstallationIDN2O]</v>
      </c>
    </row>
    <row r="2095" spans="1:15" x14ac:dyDescent="0.3">
      <c r="A2095" t="s">
        <v>1793</v>
      </c>
      <c r="B2095" t="s">
        <v>2259</v>
      </c>
      <c r="C2095" t="s">
        <v>2261</v>
      </c>
      <c r="D2095">
        <v>32</v>
      </c>
      <c r="E2095" t="s">
        <v>1447</v>
      </c>
      <c r="F2095" t="s">
        <v>2279</v>
      </c>
      <c r="G2095" t="s">
        <v>1797</v>
      </c>
      <c r="H2095" t="s">
        <v>2191</v>
      </c>
      <c r="I2095" t="s">
        <v>1799</v>
      </c>
      <c r="J2095" t="s">
        <v>1799</v>
      </c>
      <c r="K2095" t="s">
        <v>1799</v>
      </c>
      <c r="L2095" t="s">
        <v>1799</v>
      </c>
      <c r="M2095" t="s">
        <v>1799</v>
      </c>
      <c r="N2095" t="s">
        <v>1799</v>
      </c>
      <c r="O2095" s="184" t="str">
        <f>"["&amp;$C2095&amp;"]["&amp;$D2095&amp;"]["&amp;$F2095&amp;"]"</f>
        <v>[S05_ContinuousEmissionsMeasurementDetail][32][InstallationIDN2O]</v>
      </c>
    </row>
    <row r="2096" spans="1:15" x14ac:dyDescent="0.3">
      <c r="A2096" t="s">
        <v>1793</v>
      </c>
      <c r="B2096" t="s">
        <v>2259</v>
      </c>
      <c r="C2096" t="s">
        <v>2261</v>
      </c>
      <c r="D2096">
        <v>33</v>
      </c>
      <c r="E2096" t="s">
        <v>1447</v>
      </c>
      <c r="F2096" t="s">
        <v>2279</v>
      </c>
      <c r="G2096" t="s">
        <v>1797</v>
      </c>
      <c r="H2096" t="s">
        <v>2271</v>
      </c>
      <c r="I2096" t="s">
        <v>1799</v>
      </c>
      <c r="J2096" t="s">
        <v>1799</v>
      </c>
      <c r="K2096" t="s">
        <v>1799</v>
      </c>
      <c r="L2096" t="s">
        <v>1799</v>
      </c>
      <c r="M2096" t="s">
        <v>1799</v>
      </c>
      <c r="N2096" t="s">
        <v>1799</v>
      </c>
      <c r="O2096" s="184" t="str">
        <f>"["&amp;$C2096&amp;"]["&amp;$D2096&amp;"]["&amp;$F2096&amp;"]"</f>
        <v>[S05_ContinuousEmissionsMeasurementDetail][33][InstallationIDN2O]</v>
      </c>
    </row>
    <row r="2097" spans="1:15" x14ac:dyDescent="0.3">
      <c r="A2097" t="s">
        <v>1793</v>
      </c>
      <c r="B2097" t="s">
        <v>2259</v>
      </c>
      <c r="C2097" t="s">
        <v>2261</v>
      </c>
      <c r="D2097">
        <v>34</v>
      </c>
      <c r="E2097" t="s">
        <v>1447</v>
      </c>
      <c r="F2097" t="s">
        <v>2279</v>
      </c>
      <c r="G2097" t="s">
        <v>1797</v>
      </c>
      <c r="H2097" t="s">
        <v>2176</v>
      </c>
      <c r="I2097" t="s">
        <v>1799</v>
      </c>
      <c r="J2097" t="s">
        <v>1799</v>
      </c>
      <c r="K2097" t="s">
        <v>1799</v>
      </c>
      <c r="L2097" t="s">
        <v>1799</v>
      </c>
      <c r="M2097" t="s">
        <v>1799</v>
      </c>
      <c r="N2097" t="s">
        <v>1799</v>
      </c>
      <c r="O2097" s="184" t="str">
        <f>"["&amp;$C2097&amp;"]["&amp;$D2097&amp;"]["&amp;$F2097&amp;"]"</f>
        <v>[S05_ContinuousEmissionsMeasurementDetail][34][InstallationIDN2O]</v>
      </c>
    </row>
    <row r="2098" spans="1:15" x14ac:dyDescent="0.3">
      <c r="A2098" t="s">
        <v>1793</v>
      </c>
      <c r="B2098" t="s">
        <v>2259</v>
      </c>
      <c r="C2098" t="s">
        <v>2261</v>
      </c>
      <c r="D2098">
        <v>35</v>
      </c>
      <c r="E2098" t="s">
        <v>1447</v>
      </c>
      <c r="F2098" t="s">
        <v>2279</v>
      </c>
      <c r="G2098" t="s">
        <v>1797</v>
      </c>
      <c r="H2098" t="s">
        <v>2284</v>
      </c>
      <c r="I2098" t="s">
        <v>1799</v>
      </c>
      <c r="J2098" t="s">
        <v>1799</v>
      </c>
      <c r="K2098" t="s">
        <v>1799</v>
      </c>
      <c r="L2098" t="s">
        <v>1799</v>
      </c>
      <c r="M2098" t="s">
        <v>1799</v>
      </c>
      <c r="N2098" t="s">
        <v>1799</v>
      </c>
      <c r="O2098" s="184" t="str">
        <f>"["&amp;$C2098&amp;"]["&amp;$D2098&amp;"]["&amp;$F2098&amp;"]"</f>
        <v>[S05_ContinuousEmissionsMeasurementDetail][35][InstallationIDN2O]</v>
      </c>
    </row>
    <row r="2099" spans="1:15" x14ac:dyDescent="0.3">
      <c r="A2099" t="s">
        <v>1793</v>
      </c>
      <c r="B2099" t="s">
        <v>2259</v>
      </c>
      <c r="C2099" t="s">
        <v>2261</v>
      </c>
      <c r="D2099">
        <v>36</v>
      </c>
      <c r="E2099" t="s">
        <v>1447</v>
      </c>
      <c r="F2099" t="s">
        <v>2279</v>
      </c>
      <c r="G2099" t="s">
        <v>1797</v>
      </c>
      <c r="H2099" t="s">
        <v>2285</v>
      </c>
      <c r="I2099" t="s">
        <v>1799</v>
      </c>
      <c r="J2099" t="s">
        <v>1799</v>
      </c>
      <c r="K2099" t="s">
        <v>1799</v>
      </c>
      <c r="L2099" t="s">
        <v>1799</v>
      </c>
      <c r="M2099" t="s">
        <v>1799</v>
      </c>
      <c r="N2099" t="s">
        <v>1799</v>
      </c>
      <c r="O2099" s="184" t="str">
        <f>"["&amp;$C2099&amp;"]["&amp;$D2099&amp;"]["&amp;$F2099&amp;"]"</f>
        <v>[S05_ContinuousEmissionsMeasurementDetail][36][InstallationIDN2O]</v>
      </c>
    </row>
    <row r="2100" spans="1:15" x14ac:dyDescent="0.3">
      <c r="A2100" t="s">
        <v>1793</v>
      </c>
      <c r="B2100" t="s">
        <v>2259</v>
      </c>
      <c r="C2100" t="s">
        <v>2261</v>
      </c>
      <c r="D2100">
        <v>37</v>
      </c>
      <c r="E2100" t="s">
        <v>1447</v>
      </c>
      <c r="F2100" t="s">
        <v>2279</v>
      </c>
      <c r="G2100" t="s">
        <v>1797</v>
      </c>
      <c r="H2100" t="s">
        <v>2286</v>
      </c>
      <c r="I2100" t="s">
        <v>1799</v>
      </c>
      <c r="J2100" t="s">
        <v>1799</v>
      </c>
      <c r="K2100" t="s">
        <v>1799</v>
      </c>
      <c r="L2100" t="s">
        <v>1799</v>
      </c>
      <c r="M2100" t="s">
        <v>1799</v>
      </c>
      <c r="N2100" t="s">
        <v>1799</v>
      </c>
      <c r="O2100" s="184" t="str">
        <f>"["&amp;$C2100&amp;"]["&amp;$D2100&amp;"]["&amp;$F2100&amp;"]"</f>
        <v>[S05_ContinuousEmissionsMeasurementDetail][37][InstallationIDN2O]</v>
      </c>
    </row>
    <row r="2101" spans="1:15" x14ac:dyDescent="0.3">
      <c r="A2101" t="s">
        <v>1793</v>
      </c>
      <c r="B2101" t="s">
        <v>2259</v>
      </c>
      <c r="C2101" t="s">
        <v>2261</v>
      </c>
      <c r="D2101">
        <v>38</v>
      </c>
      <c r="E2101" t="s">
        <v>1447</v>
      </c>
      <c r="F2101" t="s">
        <v>2279</v>
      </c>
      <c r="G2101" t="s">
        <v>1797</v>
      </c>
      <c r="H2101" t="s">
        <v>2177</v>
      </c>
      <c r="I2101" t="s">
        <v>1799</v>
      </c>
      <c r="J2101" t="s">
        <v>1799</v>
      </c>
      <c r="K2101" t="s">
        <v>1799</v>
      </c>
      <c r="L2101" t="s">
        <v>1799</v>
      </c>
      <c r="M2101" t="s">
        <v>1799</v>
      </c>
      <c r="N2101" t="s">
        <v>1799</v>
      </c>
      <c r="O2101" s="184" t="str">
        <f>"["&amp;$C2101&amp;"]["&amp;$D2101&amp;"]["&amp;$F2101&amp;"]"</f>
        <v>[S05_ContinuousEmissionsMeasurementDetail][38][InstallationIDN2O]</v>
      </c>
    </row>
    <row r="2102" spans="1:15" x14ac:dyDescent="0.3">
      <c r="A2102" t="s">
        <v>1793</v>
      </c>
      <c r="B2102" t="s">
        <v>2259</v>
      </c>
      <c r="C2102" t="s">
        <v>2261</v>
      </c>
      <c r="D2102">
        <v>1</v>
      </c>
      <c r="E2102" t="s">
        <v>1447</v>
      </c>
      <c r="F2102" t="s">
        <v>2287</v>
      </c>
      <c r="G2102" t="s">
        <v>1892</v>
      </c>
      <c r="H2102" t="s">
        <v>1799</v>
      </c>
      <c r="I2102" t="s">
        <v>1799</v>
      </c>
      <c r="J2102">
        <v>656151</v>
      </c>
      <c r="K2102" t="s">
        <v>1799</v>
      </c>
      <c r="L2102" t="s">
        <v>1799</v>
      </c>
      <c r="M2102" t="s">
        <v>1799</v>
      </c>
      <c r="N2102" t="s">
        <v>1799</v>
      </c>
      <c r="O2102" s="184" t="str">
        <f>"["&amp;$C2102&amp;"]["&amp;$D2102&amp;"]["&amp;$F2102&amp;"]"</f>
        <v>[S05_ContinuousEmissionsMeasurementDetail][1][TotalEmissionsCO2E]</v>
      </c>
    </row>
    <row r="2103" spans="1:15" x14ac:dyDescent="0.3">
      <c r="A2103" t="s">
        <v>1793</v>
      </c>
      <c r="B2103" t="s">
        <v>2259</v>
      </c>
      <c r="C2103" t="s">
        <v>2261</v>
      </c>
      <c r="D2103">
        <v>2</v>
      </c>
      <c r="E2103" t="s">
        <v>1447</v>
      </c>
      <c r="F2103" t="s">
        <v>2287</v>
      </c>
      <c r="G2103" t="s">
        <v>1892</v>
      </c>
      <c r="H2103" t="s">
        <v>1799</v>
      </c>
      <c r="I2103" t="s">
        <v>1799</v>
      </c>
      <c r="J2103">
        <v>1016652</v>
      </c>
      <c r="K2103" t="s">
        <v>1799</v>
      </c>
      <c r="L2103" t="s">
        <v>1799</v>
      </c>
      <c r="M2103" t="s">
        <v>1799</v>
      </c>
      <c r="N2103" t="s">
        <v>1799</v>
      </c>
      <c r="O2103" s="184" t="str">
        <f>"["&amp;$C2103&amp;"]["&amp;$D2103&amp;"]["&amp;$F2103&amp;"]"</f>
        <v>[S05_ContinuousEmissionsMeasurementDetail][2][TotalEmissionsCO2E]</v>
      </c>
    </row>
    <row r="2104" spans="1:15" x14ac:dyDescent="0.3">
      <c r="A2104" t="s">
        <v>1793</v>
      </c>
      <c r="B2104" t="s">
        <v>2259</v>
      </c>
      <c r="C2104" t="s">
        <v>2261</v>
      </c>
      <c r="D2104">
        <v>3</v>
      </c>
      <c r="E2104" t="s">
        <v>1447</v>
      </c>
      <c r="F2104" t="s">
        <v>2287</v>
      </c>
      <c r="G2104" t="s">
        <v>1892</v>
      </c>
      <c r="H2104" t="s">
        <v>1799</v>
      </c>
      <c r="I2104" t="s">
        <v>1799</v>
      </c>
      <c r="J2104">
        <v>1108174</v>
      </c>
      <c r="K2104" t="s">
        <v>1799</v>
      </c>
      <c r="L2104" t="s">
        <v>1799</v>
      </c>
      <c r="M2104" t="s">
        <v>1799</v>
      </c>
      <c r="N2104" t="s">
        <v>1799</v>
      </c>
      <c r="O2104" s="184" t="str">
        <f>"["&amp;$C2104&amp;"]["&amp;$D2104&amp;"]["&amp;$F2104&amp;"]"</f>
        <v>[S05_ContinuousEmissionsMeasurementDetail][3][TotalEmissionsCO2E]</v>
      </c>
    </row>
    <row r="2105" spans="1:15" x14ac:dyDescent="0.3">
      <c r="A2105" t="s">
        <v>1793</v>
      </c>
      <c r="B2105" t="s">
        <v>2259</v>
      </c>
      <c r="C2105" t="s">
        <v>2261</v>
      </c>
      <c r="D2105">
        <v>4</v>
      </c>
      <c r="E2105" t="s">
        <v>1447</v>
      </c>
      <c r="F2105" t="s">
        <v>2287</v>
      </c>
      <c r="G2105" t="s">
        <v>1892</v>
      </c>
      <c r="H2105" t="s">
        <v>1799</v>
      </c>
      <c r="I2105" t="s">
        <v>1799</v>
      </c>
      <c r="J2105">
        <v>859063</v>
      </c>
      <c r="K2105" t="s">
        <v>1799</v>
      </c>
      <c r="L2105" t="s">
        <v>1799</v>
      </c>
      <c r="M2105" t="s">
        <v>1799</v>
      </c>
      <c r="N2105" t="s">
        <v>1799</v>
      </c>
      <c r="O2105" s="184" t="str">
        <f>"["&amp;$C2105&amp;"]["&amp;$D2105&amp;"]["&amp;$F2105&amp;"]"</f>
        <v>[S05_ContinuousEmissionsMeasurementDetail][4][TotalEmissionsCO2E]</v>
      </c>
    </row>
    <row r="2106" spans="1:15" x14ac:dyDescent="0.3">
      <c r="A2106" t="s">
        <v>1793</v>
      </c>
      <c r="B2106" t="s">
        <v>2259</v>
      </c>
      <c r="C2106" t="s">
        <v>2261</v>
      </c>
      <c r="D2106">
        <v>5</v>
      </c>
      <c r="E2106" t="s">
        <v>1447</v>
      </c>
      <c r="F2106" t="s">
        <v>2287</v>
      </c>
      <c r="G2106" t="s">
        <v>1892</v>
      </c>
      <c r="H2106" t="s">
        <v>1799</v>
      </c>
      <c r="I2106" t="s">
        <v>1799</v>
      </c>
      <c r="J2106">
        <v>357267</v>
      </c>
      <c r="K2106" t="s">
        <v>1799</v>
      </c>
      <c r="L2106" t="s">
        <v>1799</v>
      </c>
      <c r="M2106" t="s">
        <v>1799</v>
      </c>
      <c r="N2106" t="s">
        <v>1799</v>
      </c>
      <c r="O2106" s="184" t="str">
        <f>"["&amp;$C2106&amp;"]["&amp;$D2106&amp;"]["&amp;$F2106&amp;"]"</f>
        <v>[S05_ContinuousEmissionsMeasurementDetail][5][TotalEmissionsCO2E]</v>
      </c>
    </row>
    <row r="2107" spans="1:15" x14ac:dyDescent="0.3">
      <c r="A2107" t="s">
        <v>1793</v>
      </c>
      <c r="B2107" t="s">
        <v>2259</v>
      </c>
      <c r="C2107" t="s">
        <v>2261</v>
      </c>
      <c r="D2107">
        <v>6</v>
      </c>
      <c r="E2107" t="s">
        <v>1447</v>
      </c>
      <c r="F2107" t="s">
        <v>2287</v>
      </c>
      <c r="G2107" t="s">
        <v>1892</v>
      </c>
      <c r="H2107" t="s">
        <v>1799</v>
      </c>
      <c r="I2107" t="s">
        <v>1799</v>
      </c>
      <c r="J2107">
        <v>2456398</v>
      </c>
      <c r="K2107" t="s">
        <v>1799</v>
      </c>
      <c r="L2107" t="s">
        <v>1799</v>
      </c>
      <c r="M2107" t="s">
        <v>1799</v>
      </c>
      <c r="N2107" t="s">
        <v>1799</v>
      </c>
      <c r="O2107" s="184" t="str">
        <f>"["&amp;$C2107&amp;"]["&amp;$D2107&amp;"]["&amp;$F2107&amp;"]"</f>
        <v>[S05_ContinuousEmissionsMeasurementDetail][6][TotalEmissionsCO2E]</v>
      </c>
    </row>
    <row r="2108" spans="1:15" x14ac:dyDescent="0.3">
      <c r="A2108" t="s">
        <v>1793</v>
      </c>
      <c r="B2108" t="s">
        <v>2259</v>
      </c>
      <c r="C2108" t="s">
        <v>2261</v>
      </c>
      <c r="D2108">
        <v>7</v>
      </c>
      <c r="E2108" t="s">
        <v>1447</v>
      </c>
      <c r="F2108" t="s">
        <v>2287</v>
      </c>
      <c r="G2108" t="s">
        <v>1892</v>
      </c>
      <c r="H2108" t="s">
        <v>1799</v>
      </c>
      <c r="I2108" t="s">
        <v>1799</v>
      </c>
      <c r="J2108">
        <v>1067158</v>
      </c>
      <c r="K2108" t="s">
        <v>1799</v>
      </c>
      <c r="L2108" t="s">
        <v>1799</v>
      </c>
      <c r="M2108" t="s">
        <v>1799</v>
      </c>
      <c r="N2108" t="s">
        <v>1799</v>
      </c>
      <c r="O2108" s="184" t="str">
        <f>"["&amp;$C2108&amp;"]["&amp;$D2108&amp;"]["&amp;$F2108&amp;"]"</f>
        <v>[S05_ContinuousEmissionsMeasurementDetail][7][TotalEmissionsCO2E]</v>
      </c>
    </row>
    <row r="2109" spans="1:15" x14ac:dyDescent="0.3">
      <c r="A2109" t="s">
        <v>1793</v>
      </c>
      <c r="B2109" t="s">
        <v>2259</v>
      </c>
      <c r="C2109" t="s">
        <v>2261</v>
      </c>
      <c r="D2109">
        <v>8</v>
      </c>
      <c r="E2109" t="s">
        <v>1447</v>
      </c>
      <c r="F2109" t="s">
        <v>2287</v>
      </c>
      <c r="G2109" t="s">
        <v>1892</v>
      </c>
      <c r="H2109" t="s">
        <v>1799</v>
      </c>
      <c r="I2109" t="s">
        <v>1799</v>
      </c>
      <c r="J2109">
        <v>3480163</v>
      </c>
      <c r="K2109" t="s">
        <v>1799</v>
      </c>
      <c r="L2109" t="s">
        <v>1799</v>
      </c>
      <c r="M2109" t="s">
        <v>1799</v>
      </c>
      <c r="N2109" t="s">
        <v>1799</v>
      </c>
      <c r="O2109" s="184" t="str">
        <f>"["&amp;$C2109&amp;"]["&amp;$D2109&amp;"]["&amp;$F2109&amp;"]"</f>
        <v>[S05_ContinuousEmissionsMeasurementDetail][8][TotalEmissionsCO2E]</v>
      </c>
    </row>
    <row r="2110" spans="1:15" x14ac:dyDescent="0.3">
      <c r="A2110" t="s">
        <v>1793</v>
      </c>
      <c r="B2110" t="s">
        <v>2259</v>
      </c>
      <c r="C2110" t="s">
        <v>2261</v>
      </c>
      <c r="D2110">
        <v>9</v>
      </c>
      <c r="E2110" t="s">
        <v>1447</v>
      </c>
      <c r="F2110" t="s">
        <v>2287</v>
      </c>
      <c r="G2110" t="s">
        <v>1892</v>
      </c>
      <c r="H2110" t="s">
        <v>1799</v>
      </c>
      <c r="I2110" t="s">
        <v>1799</v>
      </c>
      <c r="J2110">
        <v>1600337</v>
      </c>
      <c r="K2110" t="s">
        <v>1799</v>
      </c>
      <c r="L2110" t="s">
        <v>1799</v>
      </c>
      <c r="M2110" t="s">
        <v>1799</v>
      </c>
      <c r="N2110" t="s">
        <v>1799</v>
      </c>
      <c r="O2110" s="184" t="str">
        <f>"["&amp;$C2110&amp;"]["&amp;$D2110&amp;"]["&amp;$F2110&amp;"]"</f>
        <v>[S05_ContinuousEmissionsMeasurementDetail][9][TotalEmissionsCO2E]</v>
      </c>
    </row>
    <row r="2111" spans="1:15" x14ac:dyDescent="0.3">
      <c r="A2111" t="s">
        <v>1793</v>
      </c>
      <c r="B2111" t="s">
        <v>2259</v>
      </c>
      <c r="C2111" t="s">
        <v>2261</v>
      </c>
      <c r="D2111">
        <v>10</v>
      </c>
      <c r="E2111" t="s">
        <v>1447</v>
      </c>
      <c r="F2111" t="s">
        <v>2287</v>
      </c>
      <c r="G2111" t="s">
        <v>1892</v>
      </c>
      <c r="H2111" t="s">
        <v>1799</v>
      </c>
      <c r="I2111" t="s">
        <v>1799</v>
      </c>
      <c r="J2111">
        <v>739644</v>
      </c>
      <c r="K2111" t="s">
        <v>1799</v>
      </c>
      <c r="L2111" t="s">
        <v>1799</v>
      </c>
      <c r="M2111" t="s">
        <v>1799</v>
      </c>
      <c r="N2111" t="s">
        <v>1799</v>
      </c>
      <c r="O2111" s="184" t="str">
        <f>"["&amp;$C2111&amp;"]["&amp;$D2111&amp;"]["&amp;$F2111&amp;"]"</f>
        <v>[S05_ContinuousEmissionsMeasurementDetail][10][TotalEmissionsCO2E]</v>
      </c>
    </row>
    <row r="2112" spans="1:15" x14ac:dyDescent="0.3">
      <c r="A2112" t="s">
        <v>1793</v>
      </c>
      <c r="B2112" t="s">
        <v>2259</v>
      </c>
      <c r="C2112" t="s">
        <v>2261</v>
      </c>
      <c r="D2112">
        <v>11</v>
      </c>
      <c r="E2112" t="s">
        <v>1447</v>
      </c>
      <c r="F2112" t="s">
        <v>2287</v>
      </c>
      <c r="G2112" t="s">
        <v>1892</v>
      </c>
      <c r="H2112" t="s">
        <v>1799</v>
      </c>
      <c r="I2112" t="s">
        <v>1799</v>
      </c>
      <c r="J2112">
        <v>74329</v>
      </c>
      <c r="K2112" t="s">
        <v>1799</v>
      </c>
      <c r="L2112" t="s">
        <v>1799</v>
      </c>
      <c r="M2112" t="s">
        <v>1799</v>
      </c>
      <c r="N2112" t="s">
        <v>1799</v>
      </c>
      <c r="O2112" s="184" t="str">
        <f>"["&amp;$C2112&amp;"]["&amp;$D2112&amp;"]["&amp;$F2112&amp;"]"</f>
        <v>[S05_ContinuousEmissionsMeasurementDetail][11][TotalEmissionsCO2E]</v>
      </c>
    </row>
    <row r="2113" spans="1:15" x14ac:dyDescent="0.3">
      <c r="A2113" t="s">
        <v>1793</v>
      </c>
      <c r="B2113" t="s">
        <v>2259</v>
      </c>
      <c r="C2113" t="s">
        <v>2261</v>
      </c>
      <c r="D2113">
        <v>12</v>
      </c>
      <c r="E2113" t="s">
        <v>1447</v>
      </c>
      <c r="F2113" t="s">
        <v>2287</v>
      </c>
      <c r="G2113" t="s">
        <v>1892</v>
      </c>
      <c r="H2113" t="s">
        <v>1799</v>
      </c>
      <c r="I2113" t="s">
        <v>1799</v>
      </c>
      <c r="J2113">
        <v>6974582</v>
      </c>
      <c r="K2113" t="s">
        <v>1799</v>
      </c>
      <c r="L2113" t="s">
        <v>1799</v>
      </c>
      <c r="M2113" t="s">
        <v>1799</v>
      </c>
      <c r="N2113" t="s">
        <v>1799</v>
      </c>
      <c r="O2113" s="184" t="str">
        <f>"["&amp;$C2113&amp;"]["&amp;$D2113&amp;"]["&amp;$F2113&amp;"]"</f>
        <v>[S05_ContinuousEmissionsMeasurementDetail][12][TotalEmissionsCO2E]</v>
      </c>
    </row>
    <row r="2114" spans="1:15" x14ac:dyDescent="0.3">
      <c r="A2114" t="s">
        <v>1793</v>
      </c>
      <c r="B2114" t="s">
        <v>2259</v>
      </c>
      <c r="C2114" t="s">
        <v>2261</v>
      </c>
      <c r="D2114">
        <v>13</v>
      </c>
      <c r="E2114" t="s">
        <v>1447</v>
      </c>
      <c r="F2114" t="s">
        <v>2287</v>
      </c>
      <c r="G2114" t="s">
        <v>1892</v>
      </c>
      <c r="H2114" t="s">
        <v>1799</v>
      </c>
      <c r="I2114" t="s">
        <v>1799</v>
      </c>
      <c r="J2114">
        <v>200083</v>
      </c>
      <c r="K2114" t="s">
        <v>1799</v>
      </c>
      <c r="L2114" t="s">
        <v>1799</v>
      </c>
      <c r="M2114" t="s">
        <v>1799</v>
      </c>
      <c r="N2114" t="s">
        <v>1799</v>
      </c>
      <c r="O2114" s="184" t="str">
        <f>"["&amp;$C2114&amp;"]["&amp;$D2114&amp;"]["&amp;$F2114&amp;"]"</f>
        <v>[S05_ContinuousEmissionsMeasurementDetail][13][TotalEmissionsCO2E]</v>
      </c>
    </row>
    <row r="2115" spans="1:15" x14ac:dyDescent="0.3">
      <c r="A2115" t="s">
        <v>1793</v>
      </c>
      <c r="B2115" t="s">
        <v>2259</v>
      </c>
      <c r="C2115" t="s">
        <v>2261</v>
      </c>
      <c r="D2115">
        <v>14</v>
      </c>
      <c r="E2115" t="s">
        <v>1447</v>
      </c>
      <c r="F2115" t="s">
        <v>2287</v>
      </c>
      <c r="G2115" t="s">
        <v>1892</v>
      </c>
      <c r="H2115" t="s">
        <v>1799</v>
      </c>
      <c r="I2115" t="s">
        <v>1799</v>
      </c>
      <c r="J2115">
        <v>364</v>
      </c>
      <c r="K2115" t="s">
        <v>1799</v>
      </c>
      <c r="L2115" t="s">
        <v>1799</v>
      </c>
      <c r="M2115" t="s">
        <v>1799</v>
      </c>
      <c r="N2115" t="s">
        <v>1799</v>
      </c>
      <c r="O2115" s="184" t="str">
        <f>"["&amp;$C2115&amp;"]["&amp;$D2115&amp;"]["&amp;$F2115&amp;"]"</f>
        <v>[S05_ContinuousEmissionsMeasurementDetail][14][TotalEmissionsCO2E]</v>
      </c>
    </row>
    <row r="2116" spans="1:15" x14ac:dyDescent="0.3">
      <c r="A2116" t="s">
        <v>1793</v>
      </c>
      <c r="B2116" t="s">
        <v>2259</v>
      </c>
      <c r="C2116" t="s">
        <v>2261</v>
      </c>
      <c r="D2116">
        <v>15</v>
      </c>
      <c r="E2116" t="s">
        <v>1447</v>
      </c>
      <c r="F2116" t="s">
        <v>2287</v>
      </c>
      <c r="G2116" t="s">
        <v>1892</v>
      </c>
      <c r="H2116" t="s">
        <v>1799</v>
      </c>
      <c r="I2116" t="s">
        <v>1799</v>
      </c>
      <c r="J2116">
        <v>27788</v>
      </c>
      <c r="K2116" t="s">
        <v>1799</v>
      </c>
      <c r="L2116" t="s">
        <v>1799</v>
      </c>
      <c r="M2116" t="s">
        <v>1799</v>
      </c>
      <c r="N2116" t="s">
        <v>1799</v>
      </c>
      <c r="O2116" s="184" t="str">
        <f>"["&amp;$C2116&amp;"]["&amp;$D2116&amp;"]["&amp;$F2116&amp;"]"</f>
        <v>[S05_ContinuousEmissionsMeasurementDetail][15][TotalEmissionsCO2E]</v>
      </c>
    </row>
    <row r="2117" spans="1:15" x14ac:dyDescent="0.3">
      <c r="A2117" t="s">
        <v>1793</v>
      </c>
      <c r="B2117" t="s">
        <v>2259</v>
      </c>
      <c r="C2117" t="s">
        <v>2261</v>
      </c>
      <c r="D2117">
        <v>16</v>
      </c>
      <c r="E2117" t="s">
        <v>1447</v>
      </c>
      <c r="F2117" t="s">
        <v>2287</v>
      </c>
      <c r="G2117" t="s">
        <v>1892</v>
      </c>
      <c r="H2117" t="s">
        <v>1799</v>
      </c>
      <c r="I2117" t="s">
        <v>1799</v>
      </c>
      <c r="J2117">
        <v>69393</v>
      </c>
      <c r="K2117" t="s">
        <v>1799</v>
      </c>
      <c r="L2117" t="s">
        <v>1799</v>
      </c>
      <c r="M2117" t="s">
        <v>1799</v>
      </c>
      <c r="N2117" t="s">
        <v>1799</v>
      </c>
      <c r="O2117" s="184" t="str">
        <f>"["&amp;$C2117&amp;"]["&amp;$D2117&amp;"]["&amp;$F2117&amp;"]"</f>
        <v>[S05_ContinuousEmissionsMeasurementDetail][16][TotalEmissionsCO2E]</v>
      </c>
    </row>
    <row r="2118" spans="1:15" x14ac:dyDescent="0.3">
      <c r="A2118" t="s">
        <v>1793</v>
      </c>
      <c r="B2118" t="s">
        <v>2259</v>
      </c>
      <c r="C2118" t="s">
        <v>2261</v>
      </c>
      <c r="D2118">
        <v>17</v>
      </c>
      <c r="E2118" t="s">
        <v>1447</v>
      </c>
      <c r="F2118" t="s">
        <v>2287</v>
      </c>
      <c r="G2118" t="s">
        <v>1892</v>
      </c>
      <c r="H2118" t="s">
        <v>1799</v>
      </c>
      <c r="I2118" t="s">
        <v>1799</v>
      </c>
      <c r="J2118">
        <v>56283</v>
      </c>
      <c r="K2118" t="s">
        <v>1799</v>
      </c>
      <c r="L2118" t="s">
        <v>1799</v>
      </c>
      <c r="M2118" t="s">
        <v>1799</v>
      </c>
      <c r="N2118" t="s">
        <v>1799</v>
      </c>
      <c r="O2118" s="184" t="str">
        <f>"["&amp;$C2118&amp;"]["&amp;$D2118&amp;"]["&amp;$F2118&amp;"]"</f>
        <v>[S05_ContinuousEmissionsMeasurementDetail][17][TotalEmissionsCO2E]</v>
      </c>
    </row>
    <row r="2119" spans="1:15" x14ac:dyDescent="0.3">
      <c r="A2119" t="s">
        <v>1793</v>
      </c>
      <c r="B2119" t="s">
        <v>2259</v>
      </c>
      <c r="C2119" t="s">
        <v>2261</v>
      </c>
      <c r="D2119">
        <v>18</v>
      </c>
      <c r="E2119" t="s">
        <v>1447</v>
      </c>
      <c r="F2119" t="s">
        <v>2287</v>
      </c>
      <c r="G2119" t="s">
        <v>1892</v>
      </c>
      <c r="H2119" t="s">
        <v>1799</v>
      </c>
      <c r="I2119" t="s">
        <v>1799</v>
      </c>
      <c r="J2119">
        <v>3612</v>
      </c>
      <c r="K2119" t="s">
        <v>1799</v>
      </c>
      <c r="L2119" t="s">
        <v>1799</v>
      </c>
      <c r="M2119" t="s">
        <v>1799</v>
      </c>
      <c r="N2119" t="s">
        <v>1799</v>
      </c>
      <c r="O2119" s="184" t="str">
        <f>"["&amp;$C2119&amp;"]["&amp;$D2119&amp;"]["&amp;$F2119&amp;"]"</f>
        <v>[S05_ContinuousEmissionsMeasurementDetail][18][TotalEmissionsCO2E]</v>
      </c>
    </row>
    <row r="2120" spans="1:15" x14ac:dyDescent="0.3">
      <c r="A2120" t="s">
        <v>1793</v>
      </c>
      <c r="B2120" t="s">
        <v>2259</v>
      </c>
      <c r="C2120" t="s">
        <v>2261</v>
      </c>
      <c r="D2120">
        <v>19</v>
      </c>
      <c r="E2120" t="s">
        <v>1447</v>
      </c>
      <c r="F2120" t="s">
        <v>2287</v>
      </c>
      <c r="G2120" t="s">
        <v>1892</v>
      </c>
      <c r="H2120" t="s">
        <v>1799</v>
      </c>
      <c r="I2120" t="s">
        <v>1799</v>
      </c>
      <c r="J2120">
        <v>21961</v>
      </c>
      <c r="K2120" t="s">
        <v>1799</v>
      </c>
      <c r="L2120" t="s">
        <v>1799</v>
      </c>
      <c r="M2120" t="s">
        <v>1799</v>
      </c>
      <c r="N2120" t="s">
        <v>1799</v>
      </c>
      <c r="O2120" s="184" t="str">
        <f>"["&amp;$C2120&amp;"]["&amp;$D2120&amp;"]["&amp;$F2120&amp;"]"</f>
        <v>[S05_ContinuousEmissionsMeasurementDetail][19][TotalEmissionsCO2E]</v>
      </c>
    </row>
    <row r="2121" spans="1:15" x14ac:dyDescent="0.3">
      <c r="A2121" t="s">
        <v>1793</v>
      </c>
      <c r="B2121" t="s">
        <v>2259</v>
      </c>
      <c r="C2121" t="s">
        <v>2261</v>
      </c>
      <c r="D2121">
        <v>20</v>
      </c>
      <c r="E2121" t="s">
        <v>1447</v>
      </c>
      <c r="F2121" t="s">
        <v>2287</v>
      </c>
      <c r="G2121" t="s">
        <v>1892</v>
      </c>
      <c r="H2121" t="s">
        <v>1799</v>
      </c>
      <c r="I2121" t="s">
        <v>1799</v>
      </c>
      <c r="J2121">
        <v>35650</v>
      </c>
      <c r="K2121" t="s">
        <v>1799</v>
      </c>
      <c r="L2121" t="s">
        <v>1799</v>
      </c>
      <c r="M2121" t="s">
        <v>1799</v>
      </c>
      <c r="N2121" t="s">
        <v>1799</v>
      </c>
      <c r="O2121" s="184" t="str">
        <f>"["&amp;$C2121&amp;"]["&amp;$D2121&amp;"]["&amp;$F2121&amp;"]"</f>
        <v>[S05_ContinuousEmissionsMeasurementDetail][20][TotalEmissionsCO2E]</v>
      </c>
    </row>
    <row r="2122" spans="1:15" x14ac:dyDescent="0.3">
      <c r="A2122" t="s">
        <v>1793</v>
      </c>
      <c r="B2122" t="s">
        <v>2259</v>
      </c>
      <c r="C2122" t="s">
        <v>2261</v>
      </c>
      <c r="D2122">
        <v>21</v>
      </c>
      <c r="E2122" t="s">
        <v>1447</v>
      </c>
      <c r="F2122" t="s">
        <v>2287</v>
      </c>
      <c r="G2122" t="s">
        <v>1892</v>
      </c>
      <c r="H2122" t="s">
        <v>1799</v>
      </c>
      <c r="I2122" t="s">
        <v>1799</v>
      </c>
      <c r="J2122">
        <v>6798</v>
      </c>
      <c r="K2122" t="s">
        <v>1799</v>
      </c>
      <c r="L2122" t="s">
        <v>1799</v>
      </c>
      <c r="M2122" t="s">
        <v>1799</v>
      </c>
      <c r="N2122" t="s">
        <v>1799</v>
      </c>
      <c r="O2122" s="184" t="str">
        <f>"["&amp;$C2122&amp;"]["&amp;$D2122&amp;"]["&amp;$F2122&amp;"]"</f>
        <v>[S05_ContinuousEmissionsMeasurementDetail][21][TotalEmissionsCO2E]</v>
      </c>
    </row>
    <row r="2123" spans="1:15" x14ac:dyDescent="0.3">
      <c r="A2123" t="s">
        <v>1793</v>
      </c>
      <c r="B2123" t="s">
        <v>2259</v>
      </c>
      <c r="C2123" t="s">
        <v>2261</v>
      </c>
      <c r="D2123">
        <v>22</v>
      </c>
      <c r="E2123" t="s">
        <v>1447</v>
      </c>
      <c r="F2123" t="s">
        <v>2287</v>
      </c>
      <c r="G2123" t="s">
        <v>1892</v>
      </c>
      <c r="H2123" t="s">
        <v>1799</v>
      </c>
      <c r="I2123" t="s">
        <v>1799</v>
      </c>
      <c r="J2123">
        <v>30361</v>
      </c>
      <c r="K2123" t="s">
        <v>1799</v>
      </c>
      <c r="L2123" t="s">
        <v>1799</v>
      </c>
      <c r="M2123" t="s">
        <v>1799</v>
      </c>
      <c r="N2123" t="s">
        <v>1799</v>
      </c>
      <c r="O2123" s="184" t="str">
        <f>"["&amp;$C2123&amp;"]["&amp;$D2123&amp;"]["&amp;$F2123&amp;"]"</f>
        <v>[S05_ContinuousEmissionsMeasurementDetail][22][TotalEmissionsCO2E]</v>
      </c>
    </row>
    <row r="2124" spans="1:15" x14ac:dyDescent="0.3">
      <c r="A2124" t="s">
        <v>1793</v>
      </c>
      <c r="B2124" t="s">
        <v>2259</v>
      </c>
      <c r="C2124" t="s">
        <v>2261</v>
      </c>
      <c r="D2124">
        <v>23</v>
      </c>
      <c r="E2124" t="s">
        <v>1447</v>
      </c>
      <c r="F2124" t="s">
        <v>2287</v>
      </c>
      <c r="G2124" t="s">
        <v>1892</v>
      </c>
      <c r="H2124" t="s">
        <v>1799</v>
      </c>
      <c r="I2124" t="s">
        <v>1799</v>
      </c>
      <c r="J2124">
        <v>65081</v>
      </c>
      <c r="K2124" t="s">
        <v>1799</v>
      </c>
      <c r="L2124" t="s">
        <v>1799</v>
      </c>
      <c r="M2124" t="s">
        <v>1799</v>
      </c>
      <c r="N2124" t="s">
        <v>1799</v>
      </c>
      <c r="O2124" s="184" t="str">
        <f>"["&amp;$C2124&amp;"]["&amp;$D2124&amp;"]["&amp;$F2124&amp;"]"</f>
        <v>[S05_ContinuousEmissionsMeasurementDetail][23][TotalEmissionsCO2E]</v>
      </c>
    </row>
    <row r="2125" spans="1:15" x14ac:dyDescent="0.3">
      <c r="A2125" t="s">
        <v>1793</v>
      </c>
      <c r="B2125" t="s">
        <v>2259</v>
      </c>
      <c r="C2125" t="s">
        <v>2261</v>
      </c>
      <c r="D2125">
        <v>24</v>
      </c>
      <c r="E2125" t="s">
        <v>1447</v>
      </c>
      <c r="F2125" t="s">
        <v>2287</v>
      </c>
      <c r="G2125" t="s">
        <v>1892</v>
      </c>
      <c r="H2125" t="s">
        <v>1799</v>
      </c>
      <c r="I2125" t="s">
        <v>1799</v>
      </c>
      <c r="J2125">
        <v>9722</v>
      </c>
      <c r="K2125" t="s">
        <v>1799</v>
      </c>
      <c r="L2125" t="s">
        <v>1799</v>
      </c>
      <c r="M2125" t="s">
        <v>1799</v>
      </c>
      <c r="N2125" t="s">
        <v>1799</v>
      </c>
      <c r="O2125" s="184" t="str">
        <f>"["&amp;$C2125&amp;"]["&amp;$D2125&amp;"]["&amp;$F2125&amp;"]"</f>
        <v>[S05_ContinuousEmissionsMeasurementDetail][24][TotalEmissionsCO2E]</v>
      </c>
    </row>
    <row r="2126" spans="1:15" x14ac:dyDescent="0.3">
      <c r="A2126" t="s">
        <v>1793</v>
      </c>
      <c r="B2126" t="s">
        <v>2259</v>
      </c>
      <c r="C2126" t="s">
        <v>2261</v>
      </c>
      <c r="D2126">
        <v>25</v>
      </c>
      <c r="E2126" t="s">
        <v>1447</v>
      </c>
      <c r="F2126" t="s">
        <v>2287</v>
      </c>
      <c r="G2126" t="s">
        <v>1892</v>
      </c>
      <c r="H2126" t="s">
        <v>1799</v>
      </c>
      <c r="I2126" t="s">
        <v>1799</v>
      </c>
      <c r="J2126">
        <v>88433</v>
      </c>
      <c r="K2126" t="s">
        <v>1799</v>
      </c>
      <c r="L2126" t="s">
        <v>1799</v>
      </c>
      <c r="M2126" t="s">
        <v>1799</v>
      </c>
      <c r="N2126" t="s">
        <v>1799</v>
      </c>
      <c r="O2126" s="184" t="str">
        <f>"["&amp;$C2126&amp;"]["&amp;$D2126&amp;"]["&amp;$F2126&amp;"]"</f>
        <v>[S05_ContinuousEmissionsMeasurementDetail][25][TotalEmissionsCO2E]</v>
      </c>
    </row>
    <row r="2127" spans="1:15" x14ac:dyDescent="0.3">
      <c r="A2127" t="s">
        <v>1793</v>
      </c>
      <c r="B2127" t="s">
        <v>2259</v>
      </c>
      <c r="C2127" t="s">
        <v>2261</v>
      </c>
      <c r="D2127">
        <v>26</v>
      </c>
      <c r="E2127" t="s">
        <v>1447</v>
      </c>
      <c r="F2127" t="s">
        <v>2287</v>
      </c>
      <c r="G2127" t="s">
        <v>1892</v>
      </c>
      <c r="H2127" t="s">
        <v>1799</v>
      </c>
      <c r="I2127" t="s">
        <v>1799</v>
      </c>
      <c r="J2127">
        <v>81816</v>
      </c>
      <c r="K2127" t="s">
        <v>1799</v>
      </c>
      <c r="L2127" t="s">
        <v>1799</v>
      </c>
      <c r="M2127" t="s">
        <v>1799</v>
      </c>
      <c r="N2127" t="s">
        <v>1799</v>
      </c>
      <c r="O2127" s="184" t="str">
        <f>"["&amp;$C2127&amp;"]["&amp;$D2127&amp;"]["&amp;$F2127&amp;"]"</f>
        <v>[S05_ContinuousEmissionsMeasurementDetail][26][TotalEmissionsCO2E]</v>
      </c>
    </row>
    <row r="2128" spans="1:15" x14ac:dyDescent="0.3">
      <c r="A2128" t="s">
        <v>1793</v>
      </c>
      <c r="B2128" t="s">
        <v>2259</v>
      </c>
      <c r="C2128" t="s">
        <v>2261</v>
      </c>
      <c r="D2128">
        <v>27</v>
      </c>
      <c r="E2128" t="s">
        <v>1447</v>
      </c>
      <c r="F2128" t="s">
        <v>2287</v>
      </c>
      <c r="G2128" t="s">
        <v>1892</v>
      </c>
      <c r="H2128" t="s">
        <v>1799</v>
      </c>
      <c r="I2128" t="s">
        <v>1799</v>
      </c>
      <c r="J2128">
        <v>2575</v>
      </c>
      <c r="K2128" t="s">
        <v>1799</v>
      </c>
      <c r="L2128" t="s">
        <v>1799</v>
      </c>
      <c r="M2128" t="s">
        <v>1799</v>
      </c>
      <c r="N2128" t="s">
        <v>1799</v>
      </c>
      <c r="O2128" s="184" t="str">
        <f>"["&amp;$C2128&amp;"]["&amp;$D2128&amp;"]["&amp;$F2128&amp;"]"</f>
        <v>[S05_ContinuousEmissionsMeasurementDetail][27][TotalEmissionsCO2E]</v>
      </c>
    </row>
    <row r="2129" spans="1:15" x14ac:dyDescent="0.3">
      <c r="A2129" t="s">
        <v>1793</v>
      </c>
      <c r="B2129" t="s">
        <v>2259</v>
      </c>
      <c r="C2129" t="s">
        <v>2261</v>
      </c>
      <c r="D2129">
        <v>28</v>
      </c>
      <c r="E2129" t="s">
        <v>1447</v>
      </c>
      <c r="F2129" t="s">
        <v>2287</v>
      </c>
      <c r="G2129" t="s">
        <v>1892</v>
      </c>
      <c r="H2129" t="s">
        <v>1799</v>
      </c>
      <c r="I2129" t="s">
        <v>1799</v>
      </c>
      <c r="J2129">
        <v>33254</v>
      </c>
      <c r="K2129" t="s">
        <v>1799</v>
      </c>
      <c r="L2129" t="s">
        <v>1799</v>
      </c>
      <c r="M2129" t="s">
        <v>1799</v>
      </c>
      <c r="N2129" t="s">
        <v>1799</v>
      </c>
      <c r="O2129" s="184" t="str">
        <f>"["&amp;$C2129&amp;"]["&amp;$D2129&amp;"]["&amp;$F2129&amp;"]"</f>
        <v>[S05_ContinuousEmissionsMeasurementDetail][28][TotalEmissionsCO2E]</v>
      </c>
    </row>
    <row r="2130" spans="1:15" x14ac:dyDescent="0.3">
      <c r="A2130" t="s">
        <v>1793</v>
      </c>
      <c r="B2130" t="s">
        <v>2259</v>
      </c>
      <c r="C2130" t="s">
        <v>2261</v>
      </c>
      <c r="D2130">
        <v>29</v>
      </c>
      <c r="E2130" t="s">
        <v>1447</v>
      </c>
      <c r="F2130" t="s">
        <v>2287</v>
      </c>
      <c r="G2130" t="s">
        <v>1892</v>
      </c>
      <c r="H2130" t="s">
        <v>1799</v>
      </c>
      <c r="I2130" t="s">
        <v>1799</v>
      </c>
      <c r="J2130">
        <v>169763</v>
      </c>
      <c r="K2130" t="s">
        <v>1799</v>
      </c>
      <c r="L2130" t="s">
        <v>1799</v>
      </c>
      <c r="M2130" t="s">
        <v>1799</v>
      </c>
      <c r="N2130" t="s">
        <v>1799</v>
      </c>
      <c r="O2130" s="184" t="str">
        <f>"["&amp;$C2130&amp;"]["&amp;$D2130&amp;"]["&amp;$F2130&amp;"]"</f>
        <v>[S05_ContinuousEmissionsMeasurementDetail][29][TotalEmissionsCO2E]</v>
      </c>
    </row>
    <row r="2131" spans="1:15" x14ac:dyDescent="0.3">
      <c r="A2131" t="s">
        <v>1793</v>
      </c>
      <c r="B2131" t="s">
        <v>2259</v>
      </c>
      <c r="C2131" t="s">
        <v>2261</v>
      </c>
      <c r="D2131">
        <v>30</v>
      </c>
      <c r="E2131" t="s">
        <v>1447</v>
      </c>
      <c r="F2131" t="s">
        <v>2287</v>
      </c>
      <c r="G2131" t="s">
        <v>1892</v>
      </c>
      <c r="H2131" t="s">
        <v>1799</v>
      </c>
      <c r="I2131" t="s">
        <v>1799</v>
      </c>
      <c r="J2131">
        <v>4716</v>
      </c>
      <c r="K2131" t="s">
        <v>1799</v>
      </c>
      <c r="L2131" t="s">
        <v>1799</v>
      </c>
      <c r="M2131" t="s">
        <v>1799</v>
      </c>
      <c r="N2131" t="s">
        <v>1799</v>
      </c>
      <c r="O2131" s="184" t="str">
        <f>"["&amp;$C2131&amp;"]["&amp;$D2131&amp;"]["&amp;$F2131&amp;"]"</f>
        <v>[S05_ContinuousEmissionsMeasurementDetail][30][TotalEmissionsCO2E]</v>
      </c>
    </row>
    <row r="2132" spans="1:15" x14ac:dyDescent="0.3">
      <c r="A2132" t="s">
        <v>1793</v>
      </c>
      <c r="B2132" t="s">
        <v>2259</v>
      </c>
      <c r="C2132" t="s">
        <v>2261</v>
      </c>
      <c r="D2132">
        <v>31</v>
      </c>
      <c r="E2132" t="s">
        <v>1447</v>
      </c>
      <c r="F2132" t="s">
        <v>2287</v>
      </c>
      <c r="G2132" t="s">
        <v>1892</v>
      </c>
      <c r="H2132" t="s">
        <v>1799</v>
      </c>
      <c r="I2132" t="s">
        <v>1799</v>
      </c>
      <c r="J2132">
        <v>12551</v>
      </c>
      <c r="K2132" t="s">
        <v>1799</v>
      </c>
      <c r="L2132" t="s">
        <v>1799</v>
      </c>
      <c r="M2132" t="s">
        <v>1799</v>
      </c>
      <c r="N2132" t="s">
        <v>1799</v>
      </c>
      <c r="O2132" s="184" t="str">
        <f>"["&amp;$C2132&amp;"]["&amp;$D2132&amp;"]["&amp;$F2132&amp;"]"</f>
        <v>[S05_ContinuousEmissionsMeasurementDetail][31][TotalEmissionsCO2E]</v>
      </c>
    </row>
    <row r="2133" spans="1:15" x14ac:dyDescent="0.3">
      <c r="A2133" t="s">
        <v>1793</v>
      </c>
      <c r="B2133" t="s">
        <v>2259</v>
      </c>
      <c r="C2133" t="s">
        <v>2261</v>
      </c>
      <c r="D2133">
        <v>32</v>
      </c>
      <c r="E2133" t="s">
        <v>1447</v>
      </c>
      <c r="F2133" t="s">
        <v>2287</v>
      </c>
      <c r="G2133" t="s">
        <v>1892</v>
      </c>
      <c r="H2133" t="s">
        <v>1799</v>
      </c>
      <c r="I2133" t="s">
        <v>1799</v>
      </c>
      <c r="J2133">
        <v>135116</v>
      </c>
      <c r="K2133" t="s">
        <v>1799</v>
      </c>
      <c r="L2133" t="s">
        <v>1799</v>
      </c>
      <c r="M2133" t="s">
        <v>1799</v>
      </c>
      <c r="N2133" t="s">
        <v>1799</v>
      </c>
      <c r="O2133" s="184" t="str">
        <f>"["&amp;$C2133&amp;"]["&amp;$D2133&amp;"]["&amp;$F2133&amp;"]"</f>
        <v>[S05_ContinuousEmissionsMeasurementDetail][32][TotalEmissionsCO2E]</v>
      </c>
    </row>
    <row r="2134" spans="1:15" x14ac:dyDescent="0.3">
      <c r="A2134" t="s">
        <v>1793</v>
      </c>
      <c r="B2134" t="s">
        <v>2259</v>
      </c>
      <c r="C2134" t="s">
        <v>2261</v>
      </c>
      <c r="D2134">
        <v>33</v>
      </c>
      <c r="E2134" t="s">
        <v>1447</v>
      </c>
      <c r="F2134" t="s">
        <v>2287</v>
      </c>
      <c r="G2134" t="s">
        <v>1892</v>
      </c>
      <c r="H2134" t="s">
        <v>1799</v>
      </c>
      <c r="I2134" t="s">
        <v>1799</v>
      </c>
      <c r="J2134">
        <v>35650</v>
      </c>
      <c r="K2134" t="s">
        <v>1799</v>
      </c>
      <c r="L2134" t="s">
        <v>1799</v>
      </c>
      <c r="M2134" t="s">
        <v>1799</v>
      </c>
      <c r="N2134" t="s">
        <v>1799</v>
      </c>
      <c r="O2134" s="184" t="str">
        <f>"["&amp;$C2134&amp;"]["&amp;$D2134&amp;"]["&amp;$F2134&amp;"]"</f>
        <v>[S05_ContinuousEmissionsMeasurementDetail][33][TotalEmissionsCO2E]</v>
      </c>
    </row>
    <row r="2135" spans="1:15" x14ac:dyDescent="0.3">
      <c r="A2135" t="s">
        <v>1793</v>
      </c>
      <c r="B2135" t="s">
        <v>2259</v>
      </c>
      <c r="C2135" t="s">
        <v>2261</v>
      </c>
      <c r="D2135">
        <v>34</v>
      </c>
      <c r="E2135" t="s">
        <v>1447</v>
      </c>
      <c r="F2135" t="s">
        <v>2287</v>
      </c>
      <c r="G2135" t="s">
        <v>1892</v>
      </c>
      <c r="H2135" t="s">
        <v>1799</v>
      </c>
      <c r="I2135" t="s">
        <v>1799</v>
      </c>
      <c r="J2135">
        <v>0</v>
      </c>
      <c r="K2135" t="s">
        <v>1799</v>
      </c>
      <c r="L2135" t="s">
        <v>1799</v>
      </c>
      <c r="M2135" t="s">
        <v>1799</v>
      </c>
      <c r="N2135" t="s">
        <v>1799</v>
      </c>
      <c r="O2135" s="184" t="str">
        <f>"["&amp;$C2135&amp;"]["&amp;$D2135&amp;"]["&amp;$F2135&amp;"]"</f>
        <v>[S05_ContinuousEmissionsMeasurementDetail][34][TotalEmissionsCO2E]</v>
      </c>
    </row>
    <row r="2136" spans="1:15" x14ac:dyDescent="0.3">
      <c r="A2136" t="s">
        <v>1793</v>
      </c>
      <c r="B2136" t="s">
        <v>2259</v>
      </c>
      <c r="C2136" t="s">
        <v>2261</v>
      </c>
      <c r="D2136">
        <v>35</v>
      </c>
      <c r="E2136" t="s">
        <v>1447</v>
      </c>
      <c r="F2136" t="s">
        <v>2287</v>
      </c>
      <c r="G2136" t="s">
        <v>1892</v>
      </c>
      <c r="H2136" t="s">
        <v>1799</v>
      </c>
      <c r="I2136" t="s">
        <v>1799</v>
      </c>
      <c r="J2136">
        <v>6429</v>
      </c>
      <c r="K2136" t="s">
        <v>1799</v>
      </c>
      <c r="L2136" t="s">
        <v>1799</v>
      </c>
      <c r="M2136" t="s">
        <v>1799</v>
      </c>
      <c r="N2136" t="s">
        <v>1799</v>
      </c>
      <c r="O2136" s="184" t="str">
        <f>"["&amp;$C2136&amp;"]["&amp;$D2136&amp;"]["&amp;$F2136&amp;"]"</f>
        <v>[S05_ContinuousEmissionsMeasurementDetail][35][TotalEmissionsCO2E]</v>
      </c>
    </row>
    <row r="2137" spans="1:15" x14ac:dyDescent="0.3">
      <c r="A2137" t="s">
        <v>1793</v>
      </c>
      <c r="B2137" t="s">
        <v>2259</v>
      </c>
      <c r="C2137" t="s">
        <v>2261</v>
      </c>
      <c r="D2137">
        <v>36</v>
      </c>
      <c r="E2137" t="s">
        <v>1447</v>
      </c>
      <c r="F2137" t="s">
        <v>2287</v>
      </c>
      <c r="G2137" t="s">
        <v>1892</v>
      </c>
      <c r="H2137" t="s">
        <v>1799</v>
      </c>
      <c r="I2137" t="s">
        <v>1799</v>
      </c>
      <c r="J2137">
        <v>24290</v>
      </c>
      <c r="K2137" t="s">
        <v>1799</v>
      </c>
      <c r="L2137" t="s">
        <v>1799</v>
      </c>
      <c r="M2137" t="s">
        <v>1799</v>
      </c>
      <c r="N2137" t="s">
        <v>1799</v>
      </c>
      <c r="O2137" s="184" t="str">
        <f>"["&amp;$C2137&amp;"]["&amp;$D2137&amp;"]["&amp;$F2137&amp;"]"</f>
        <v>[S05_ContinuousEmissionsMeasurementDetail][36][TotalEmissionsCO2E]</v>
      </c>
    </row>
    <row r="2138" spans="1:15" x14ac:dyDescent="0.3">
      <c r="A2138" t="s">
        <v>1793</v>
      </c>
      <c r="B2138" t="s">
        <v>2259</v>
      </c>
      <c r="C2138" t="s">
        <v>2261</v>
      </c>
      <c r="D2138">
        <v>37</v>
      </c>
      <c r="E2138" t="s">
        <v>1447</v>
      </c>
      <c r="F2138" t="s">
        <v>2287</v>
      </c>
      <c r="G2138" t="s">
        <v>1892</v>
      </c>
      <c r="H2138" t="s">
        <v>1799</v>
      </c>
      <c r="I2138" t="s">
        <v>1799</v>
      </c>
      <c r="J2138">
        <v>93303</v>
      </c>
      <c r="K2138" t="s">
        <v>1799</v>
      </c>
      <c r="L2138" t="s">
        <v>1799</v>
      </c>
      <c r="M2138" t="s">
        <v>1799</v>
      </c>
      <c r="N2138" t="s">
        <v>1799</v>
      </c>
      <c r="O2138" s="184" t="str">
        <f>"["&amp;$C2138&amp;"]["&amp;$D2138&amp;"]["&amp;$F2138&amp;"]"</f>
        <v>[S05_ContinuousEmissionsMeasurementDetail][37][TotalEmissionsCO2E]</v>
      </c>
    </row>
    <row r="2139" spans="1:15" x14ac:dyDescent="0.3">
      <c r="A2139" t="s">
        <v>1793</v>
      </c>
      <c r="B2139" t="s">
        <v>2259</v>
      </c>
      <c r="C2139" t="s">
        <v>2261</v>
      </c>
      <c r="D2139">
        <v>38</v>
      </c>
      <c r="E2139" t="s">
        <v>1447</v>
      </c>
      <c r="F2139" t="s">
        <v>2287</v>
      </c>
      <c r="G2139" t="s">
        <v>1892</v>
      </c>
      <c r="H2139" t="s">
        <v>1799</v>
      </c>
      <c r="I2139" t="s">
        <v>1799</v>
      </c>
      <c r="J2139">
        <v>0</v>
      </c>
      <c r="K2139" t="s">
        <v>1799</v>
      </c>
      <c r="L2139" t="s">
        <v>1799</v>
      </c>
      <c r="M2139" t="s">
        <v>1799</v>
      </c>
      <c r="N2139" t="s">
        <v>1799</v>
      </c>
      <c r="O2139" s="184" t="str">
        <f>"["&amp;$C2139&amp;"]["&amp;$D2139&amp;"]["&amp;$F2139&amp;"]"</f>
        <v>[S05_ContinuousEmissionsMeasurementDetail][38][TotalEmissionsCO2E]</v>
      </c>
    </row>
    <row r="2140" spans="1:15" x14ac:dyDescent="0.3">
      <c r="A2140" t="s">
        <v>1793</v>
      </c>
      <c r="B2140" t="s">
        <v>2259</v>
      </c>
      <c r="C2140" t="s">
        <v>2261</v>
      </c>
      <c r="D2140">
        <v>1</v>
      </c>
      <c r="E2140" t="s">
        <v>1447</v>
      </c>
      <c r="F2140" t="s">
        <v>2288</v>
      </c>
      <c r="G2140" t="s">
        <v>1892</v>
      </c>
      <c r="H2140" t="s">
        <v>1799</v>
      </c>
      <c r="I2140" t="s">
        <v>1799</v>
      </c>
      <c r="J2140">
        <v>271182</v>
      </c>
      <c r="K2140" t="s">
        <v>1799</v>
      </c>
      <c r="L2140" t="s">
        <v>1799</v>
      </c>
      <c r="M2140" t="s">
        <v>1799</v>
      </c>
      <c r="N2140" t="s">
        <v>1799</v>
      </c>
      <c r="O2140" s="184" t="str">
        <f>"["&amp;$C2140&amp;"]["&amp;$D2140&amp;"]["&amp;$F2140&amp;"]"</f>
        <v>[S05_ContinuousEmissionsMeasurementDetail][1][ContinuousMeasurementTotalEmissions]</v>
      </c>
    </row>
    <row r="2141" spans="1:15" x14ac:dyDescent="0.3">
      <c r="A2141" t="s">
        <v>1793</v>
      </c>
      <c r="B2141" t="s">
        <v>2259</v>
      </c>
      <c r="C2141" t="s">
        <v>2261</v>
      </c>
      <c r="D2141">
        <v>2</v>
      </c>
      <c r="E2141" t="s">
        <v>1447</v>
      </c>
      <c r="F2141" t="s">
        <v>2288</v>
      </c>
      <c r="G2141" t="s">
        <v>1892</v>
      </c>
      <c r="H2141" t="s">
        <v>1799</v>
      </c>
      <c r="I2141" t="s">
        <v>1799</v>
      </c>
      <c r="J2141">
        <v>244199</v>
      </c>
      <c r="K2141" t="s">
        <v>1799</v>
      </c>
      <c r="L2141" t="s">
        <v>1799</v>
      </c>
      <c r="M2141" t="s">
        <v>1799</v>
      </c>
      <c r="N2141" t="s">
        <v>1799</v>
      </c>
      <c r="O2141" s="184" t="str">
        <f>"["&amp;$C2141&amp;"]["&amp;$D2141&amp;"]["&amp;$F2141&amp;"]"</f>
        <v>[S05_ContinuousEmissionsMeasurementDetail][2][ContinuousMeasurementTotalEmissions]</v>
      </c>
    </row>
    <row r="2142" spans="1:15" x14ac:dyDescent="0.3">
      <c r="A2142" t="s">
        <v>1793</v>
      </c>
      <c r="B2142" t="s">
        <v>2259</v>
      </c>
      <c r="C2142" t="s">
        <v>2261</v>
      </c>
      <c r="D2142">
        <v>3</v>
      </c>
      <c r="E2142" t="s">
        <v>1447</v>
      </c>
      <c r="F2142" t="s">
        <v>2288</v>
      </c>
      <c r="G2142" t="s">
        <v>1892</v>
      </c>
      <c r="H2142" t="s">
        <v>1799</v>
      </c>
      <c r="I2142" t="s">
        <v>1799</v>
      </c>
      <c r="J2142">
        <v>50444</v>
      </c>
      <c r="K2142" t="s">
        <v>1799</v>
      </c>
      <c r="L2142" t="s">
        <v>1799</v>
      </c>
      <c r="M2142" t="s">
        <v>1799</v>
      </c>
      <c r="N2142" t="s">
        <v>1799</v>
      </c>
      <c r="O2142" s="184" t="str">
        <f>"["&amp;$C2142&amp;"]["&amp;$D2142&amp;"]["&amp;$F2142&amp;"]"</f>
        <v>[S05_ContinuousEmissionsMeasurementDetail][3][ContinuousMeasurementTotalEmissions]</v>
      </c>
    </row>
    <row r="2143" spans="1:15" x14ac:dyDescent="0.3">
      <c r="A2143" t="s">
        <v>1793</v>
      </c>
      <c r="B2143" t="s">
        <v>2259</v>
      </c>
      <c r="C2143" t="s">
        <v>2261</v>
      </c>
      <c r="D2143">
        <v>4</v>
      </c>
      <c r="E2143" t="s">
        <v>1447</v>
      </c>
      <c r="F2143" t="s">
        <v>2288</v>
      </c>
      <c r="G2143" t="s">
        <v>1892</v>
      </c>
      <c r="H2143" t="s">
        <v>1799</v>
      </c>
      <c r="I2143" t="s">
        <v>1799</v>
      </c>
      <c r="J2143">
        <v>216166</v>
      </c>
      <c r="K2143" t="s">
        <v>1799</v>
      </c>
      <c r="L2143" t="s">
        <v>1799</v>
      </c>
      <c r="M2143" t="s">
        <v>1799</v>
      </c>
      <c r="N2143" t="s">
        <v>1799</v>
      </c>
      <c r="O2143" s="184" t="str">
        <f>"["&amp;$C2143&amp;"]["&amp;$D2143&amp;"]["&amp;$F2143&amp;"]"</f>
        <v>[S05_ContinuousEmissionsMeasurementDetail][4][ContinuousMeasurementTotalEmissions]</v>
      </c>
    </row>
    <row r="2144" spans="1:15" x14ac:dyDescent="0.3">
      <c r="A2144" t="s">
        <v>1793</v>
      </c>
      <c r="B2144" t="s">
        <v>2259</v>
      </c>
      <c r="C2144" t="s">
        <v>2261</v>
      </c>
      <c r="D2144">
        <v>5</v>
      </c>
      <c r="E2144" t="s">
        <v>1447</v>
      </c>
      <c r="F2144" t="s">
        <v>2288</v>
      </c>
      <c r="G2144" t="s">
        <v>1892</v>
      </c>
      <c r="H2144" t="s">
        <v>1799</v>
      </c>
      <c r="I2144" t="s">
        <v>1799</v>
      </c>
      <c r="J2144">
        <v>4</v>
      </c>
      <c r="K2144" t="s">
        <v>1799</v>
      </c>
      <c r="L2144" t="s">
        <v>1799</v>
      </c>
      <c r="M2144" t="s">
        <v>1799</v>
      </c>
      <c r="N2144" t="s">
        <v>1799</v>
      </c>
      <c r="O2144" s="184" t="str">
        <f>"["&amp;$C2144&amp;"]["&amp;$D2144&amp;"]["&amp;$F2144&amp;"]"</f>
        <v>[S05_ContinuousEmissionsMeasurementDetail][5][ContinuousMeasurementTotalEmissions]</v>
      </c>
    </row>
    <row r="2145" spans="1:15" x14ac:dyDescent="0.3">
      <c r="A2145" t="s">
        <v>1793</v>
      </c>
      <c r="B2145" t="s">
        <v>2259</v>
      </c>
      <c r="C2145" t="s">
        <v>2261</v>
      </c>
      <c r="D2145">
        <v>6</v>
      </c>
      <c r="E2145" t="s">
        <v>1447</v>
      </c>
      <c r="F2145" t="s">
        <v>2288</v>
      </c>
      <c r="G2145" t="s">
        <v>1892</v>
      </c>
      <c r="H2145" t="s">
        <v>1799</v>
      </c>
      <c r="I2145" t="s">
        <v>1799</v>
      </c>
      <c r="J2145">
        <v>606469</v>
      </c>
      <c r="K2145" t="s">
        <v>1799</v>
      </c>
      <c r="L2145" t="s">
        <v>1799</v>
      </c>
      <c r="M2145" t="s">
        <v>1799</v>
      </c>
      <c r="N2145" t="s">
        <v>1799</v>
      </c>
      <c r="O2145" s="184" t="str">
        <f>"["&amp;$C2145&amp;"]["&amp;$D2145&amp;"]["&amp;$F2145&amp;"]"</f>
        <v>[S05_ContinuousEmissionsMeasurementDetail][6][ContinuousMeasurementTotalEmissions]</v>
      </c>
    </row>
    <row r="2146" spans="1:15" x14ac:dyDescent="0.3">
      <c r="A2146" t="s">
        <v>1793</v>
      </c>
      <c r="B2146" t="s">
        <v>2259</v>
      </c>
      <c r="C2146" t="s">
        <v>2261</v>
      </c>
      <c r="D2146">
        <v>7</v>
      </c>
      <c r="E2146" t="s">
        <v>1447</v>
      </c>
      <c r="F2146" t="s">
        <v>2288</v>
      </c>
      <c r="G2146" t="s">
        <v>1892</v>
      </c>
      <c r="H2146" t="s">
        <v>1799</v>
      </c>
      <c r="I2146" t="s">
        <v>1799</v>
      </c>
      <c r="J2146">
        <v>48541</v>
      </c>
      <c r="K2146" t="s">
        <v>1799</v>
      </c>
      <c r="L2146" t="s">
        <v>1799</v>
      </c>
      <c r="M2146" t="s">
        <v>1799</v>
      </c>
      <c r="N2146" t="s">
        <v>1799</v>
      </c>
      <c r="O2146" s="184" t="str">
        <f>"["&amp;$C2146&amp;"]["&amp;$D2146&amp;"]["&amp;$F2146&amp;"]"</f>
        <v>[S05_ContinuousEmissionsMeasurementDetail][7][ContinuousMeasurementTotalEmissions]</v>
      </c>
    </row>
    <row r="2147" spans="1:15" x14ac:dyDescent="0.3">
      <c r="A2147" t="s">
        <v>1793</v>
      </c>
      <c r="B2147" t="s">
        <v>2259</v>
      </c>
      <c r="C2147" t="s">
        <v>2261</v>
      </c>
      <c r="D2147">
        <v>8</v>
      </c>
      <c r="E2147" t="s">
        <v>1447</v>
      </c>
      <c r="F2147" t="s">
        <v>2288</v>
      </c>
      <c r="G2147" t="s">
        <v>1892</v>
      </c>
      <c r="H2147" t="s">
        <v>1799</v>
      </c>
      <c r="I2147" t="s">
        <v>1799</v>
      </c>
      <c r="J2147">
        <v>471067</v>
      </c>
      <c r="K2147" t="s">
        <v>1799</v>
      </c>
      <c r="L2147" t="s">
        <v>1799</v>
      </c>
      <c r="M2147" t="s">
        <v>1799</v>
      </c>
      <c r="N2147" t="s">
        <v>1799</v>
      </c>
      <c r="O2147" s="184" t="str">
        <f>"["&amp;$C2147&amp;"]["&amp;$D2147&amp;"]["&amp;$F2147&amp;"]"</f>
        <v>[S05_ContinuousEmissionsMeasurementDetail][8][ContinuousMeasurementTotalEmissions]</v>
      </c>
    </row>
    <row r="2148" spans="1:15" x14ac:dyDescent="0.3">
      <c r="A2148" t="s">
        <v>1793</v>
      </c>
      <c r="B2148" t="s">
        <v>2259</v>
      </c>
      <c r="C2148" t="s">
        <v>2261</v>
      </c>
      <c r="D2148">
        <v>9</v>
      </c>
      <c r="E2148" t="s">
        <v>1447</v>
      </c>
      <c r="F2148" t="s">
        <v>2288</v>
      </c>
      <c r="G2148" t="s">
        <v>1892</v>
      </c>
      <c r="H2148" t="s">
        <v>1799</v>
      </c>
      <c r="I2148" t="s">
        <v>1799</v>
      </c>
      <c r="J2148">
        <v>371764</v>
      </c>
      <c r="K2148" t="s">
        <v>1799</v>
      </c>
      <c r="L2148" t="s">
        <v>1799</v>
      </c>
      <c r="M2148" t="s">
        <v>1799</v>
      </c>
      <c r="N2148" t="s">
        <v>1799</v>
      </c>
      <c r="O2148" s="184" t="str">
        <f>"["&amp;$C2148&amp;"]["&amp;$D2148&amp;"]["&amp;$F2148&amp;"]"</f>
        <v>[S05_ContinuousEmissionsMeasurementDetail][9][ContinuousMeasurementTotalEmissions]</v>
      </c>
    </row>
    <row r="2149" spans="1:15" x14ac:dyDescent="0.3">
      <c r="A2149" t="s">
        <v>1793</v>
      </c>
      <c r="B2149" t="s">
        <v>2259</v>
      </c>
      <c r="C2149" t="s">
        <v>2261</v>
      </c>
      <c r="D2149">
        <v>10</v>
      </c>
      <c r="E2149" t="s">
        <v>1447</v>
      </c>
      <c r="F2149" t="s">
        <v>2288</v>
      </c>
      <c r="G2149" t="s">
        <v>1892</v>
      </c>
      <c r="H2149" t="s">
        <v>1799</v>
      </c>
      <c r="I2149" t="s">
        <v>1799</v>
      </c>
      <c r="J2149">
        <v>122382</v>
      </c>
      <c r="K2149" t="s">
        <v>1799</v>
      </c>
      <c r="L2149" t="s">
        <v>1799</v>
      </c>
      <c r="M2149" t="s">
        <v>1799</v>
      </c>
      <c r="N2149" t="s">
        <v>1799</v>
      </c>
      <c r="O2149" s="184" t="str">
        <f>"["&amp;$C2149&amp;"]["&amp;$D2149&amp;"]["&amp;$F2149&amp;"]"</f>
        <v>[S05_ContinuousEmissionsMeasurementDetail][10][ContinuousMeasurementTotalEmissions]</v>
      </c>
    </row>
    <row r="2150" spans="1:15" x14ac:dyDescent="0.3">
      <c r="A2150" t="s">
        <v>1793</v>
      </c>
      <c r="B2150" t="s">
        <v>2259</v>
      </c>
      <c r="C2150" t="s">
        <v>2261</v>
      </c>
      <c r="D2150">
        <v>11</v>
      </c>
      <c r="E2150" t="s">
        <v>1447</v>
      </c>
      <c r="F2150" t="s">
        <v>2288</v>
      </c>
      <c r="G2150" t="s">
        <v>1892</v>
      </c>
      <c r="H2150" t="s">
        <v>1799</v>
      </c>
      <c r="I2150" t="s">
        <v>1799</v>
      </c>
      <c r="J2150">
        <v>74327</v>
      </c>
      <c r="K2150" t="s">
        <v>1799</v>
      </c>
      <c r="L2150" t="s">
        <v>1799</v>
      </c>
      <c r="M2150" t="s">
        <v>1799</v>
      </c>
      <c r="N2150" t="s">
        <v>1799</v>
      </c>
      <c r="O2150" s="184" t="str">
        <f>"["&amp;$C2150&amp;"]["&amp;$D2150&amp;"]["&amp;$F2150&amp;"]"</f>
        <v>[S05_ContinuousEmissionsMeasurementDetail][11][ContinuousMeasurementTotalEmissions]</v>
      </c>
    </row>
    <row r="2151" spans="1:15" x14ac:dyDescent="0.3">
      <c r="A2151" t="s">
        <v>1793</v>
      </c>
      <c r="B2151" t="s">
        <v>2259</v>
      </c>
      <c r="C2151" t="s">
        <v>2261</v>
      </c>
      <c r="D2151">
        <v>12</v>
      </c>
      <c r="E2151" t="s">
        <v>1447</v>
      </c>
      <c r="F2151" t="s">
        <v>2288</v>
      </c>
      <c r="G2151" t="s">
        <v>1892</v>
      </c>
      <c r="H2151" t="s">
        <v>1799</v>
      </c>
      <c r="I2151" t="s">
        <v>1799</v>
      </c>
      <c r="J2151">
        <v>6909405</v>
      </c>
      <c r="K2151" t="s">
        <v>1799</v>
      </c>
      <c r="L2151" t="s">
        <v>1799</v>
      </c>
      <c r="M2151" t="s">
        <v>1799</v>
      </c>
      <c r="N2151" t="s">
        <v>1799</v>
      </c>
      <c r="O2151" s="184" t="str">
        <f>"["&amp;$C2151&amp;"]["&amp;$D2151&amp;"]["&amp;$F2151&amp;"]"</f>
        <v>[S05_ContinuousEmissionsMeasurementDetail][12][ContinuousMeasurementTotalEmissions]</v>
      </c>
    </row>
    <row r="2152" spans="1:15" x14ac:dyDescent="0.3">
      <c r="A2152" t="s">
        <v>1793</v>
      </c>
      <c r="B2152" t="s">
        <v>2259</v>
      </c>
      <c r="C2152" t="s">
        <v>2261</v>
      </c>
      <c r="D2152">
        <v>13</v>
      </c>
      <c r="E2152" t="s">
        <v>1447</v>
      </c>
      <c r="F2152" t="s">
        <v>2288</v>
      </c>
      <c r="G2152" t="s">
        <v>1892</v>
      </c>
      <c r="H2152" t="s">
        <v>1799</v>
      </c>
      <c r="I2152" t="s">
        <v>1799</v>
      </c>
      <c r="J2152">
        <v>199743</v>
      </c>
      <c r="K2152" t="s">
        <v>1799</v>
      </c>
      <c r="L2152" t="s">
        <v>1799</v>
      </c>
      <c r="M2152" t="s">
        <v>1799</v>
      </c>
      <c r="N2152" t="s">
        <v>1799</v>
      </c>
      <c r="O2152" s="184" t="str">
        <f>"["&amp;$C2152&amp;"]["&amp;$D2152&amp;"]["&amp;$F2152&amp;"]"</f>
        <v>[S05_ContinuousEmissionsMeasurementDetail][13][ContinuousMeasurementTotalEmissions]</v>
      </c>
    </row>
    <row r="2153" spans="1:15" x14ac:dyDescent="0.3">
      <c r="A2153" t="s">
        <v>1793</v>
      </c>
      <c r="B2153" t="s">
        <v>2259</v>
      </c>
      <c r="C2153" t="s">
        <v>2261</v>
      </c>
      <c r="D2153">
        <v>14</v>
      </c>
      <c r="E2153" t="s">
        <v>1447</v>
      </c>
      <c r="F2153" t="s">
        <v>2288</v>
      </c>
      <c r="G2153" t="s">
        <v>1892</v>
      </c>
      <c r="H2153" t="s">
        <v>1799</v>
      </c>
      <c r="I2153" t="s">
        <v>1799</v>
      </c>
      <c r="J2153">
        <v>27492</v>
      </c>
      <c r="K2153" t="s">
        <v>1799</v>
      </c>
      <c r="L2153" t="s">
        <v>1799</v>
      </c>
      <c r="M2153" t="s">
        <v>1799</v>
      </c>
      <c r="N2153" t="s">
        <v>1799</v>
      </c>
      <c r="O2153" s="184" t="str">
        <f>"["&amp;$C2153&amp;"]["&amp;$D2153&amp;"]["&amp;$F2153&amp;"]"</f>
        <v>[S05_ContinuousEmissionsMeasurementDetail][14][ContinuousMeasurementTotalEmissions]</v>
      </c>
    </row>
    <row r="2154" spans="1:15" x14ac:dyDescent="0.3">
      <c r="A2154" t="s">
        <v>1793</v>
      </c>
      <c r="B2154" t="s">
        <v>2259</v>
      </c>
      <c r="C2154" t="s">
        <v>2261</v>
      </c>
      <c r="D2154">
        <v>15</v>
      </c>
      <c r="E2154" t="s">
        <v>1447</v>
      </c>
      <c r="F2154" t="s">
        <v>2288</v>
      </c>
      <c r="G2154" t="s">
        <v>1892</v>
      </c>
      <c r="H2154" t="s">
        <v>1799</v>
      </c>
      <c r="I2154" t="s">
        <v>1799</v>
      </c>
      <c r="J2154">
        <v>27492</v>
      </c>
      <c r="K2154" t="s">
        <v>1799</v>
      </c>
      <c r="L2154" t="s">
        <v>1799</v>
      </c>
      <c r="M2154" t="s">
        <v>1799</v>
      </c>
      <c r="N2154" t="s">
        <v>1799</v>
      </c>
      <c r="O2154" s="184" t="str">
        <f>"["&amp;$C2154&amp;"]["&amp;$D2154&amp;"]["&amp;$F2154&amp;"]"</f>
        <v>[S05_ContinuousEmissionsMeasurementDetail][15][ContinuousMeasurementTotalEmissions]</v>
      </c>
    </row>
    <row r="2155" spans="1:15" x14ac:dyDescent="0.3">
      <c r="A2155" t="s">
        <v>1793</v>
      </c>
      <c r="B2155" t="s">
        <v>2259</v>
      </c>
      <c r="C2155" t="s">
        <v>2261</v>
      </c>
      <c r="D2155">
        <v>16</v>
      </c>
      <c r="E2155" t="s">
        <v>1447</v>
      </c>
      <c r="F2155" t="s">
        <v>2288</v>
      </c>
      <c r="G2155" t="s">
        <v>1892</v>
      </c>
      <c r="H2155" t="s">
        <v>1799</v>
      </c>
      <c r="I2155" t="s">
        <v>1799</v>
      </c>
      <c r="J2155">
        <v>68587</v>
      </c>
      <c r="K2155" t="s">
        <v>1799</v>
      </c>
      <c r="L2155" t="s">
        <v>1799</v>
      </c>
      <c r="M2155" t="s">
        <v>1799</v>
      </c>
      <c r="N2155" t="s">
        <v>1799</v>
      </c>
      <c r="O2155" s="184" t="str">
        <f>"["&amp;$C2155&amp;"]["&amp;$D2155&amp;"]["&amp;$F2155&amp;"]"</f>
        <v>[S05_ContinuousEmissionsMeasurementDetail][16][ContinuousMeasurementTotalEmissions]</v>
      </c>
    </row>
    <row r="2156" spans="1:15" x14ac:dyDescent="0.3">
      <c r="A2156" t="s">
        <v>1793</v>
      </c>
      <c r="B2156" t="s">
        <v>2259</v>
      </c>
      <c r="C2156" t="s">
        <v>2261</v>
      </c>
      <c r="D2156">
        <v>17</v>
      </c>
      <c r="E2156" t="s">
        <v>1447</v>
      </c>
      <c r="F2156" t="s">
        <v>2288</v>
      </c>
      <c r="G2156" t="s">
        <v>1892</v>
      </c>
      <c r="H2156" t="s">
        <v>1799</v>
      </c>
      <c r="I2156" t="s">
        <v>1799</v>
      </c>
      <c r="J2156">
        <v>56119</v>
      </c>
      <c r="K2156" t="s">
        <v>1799</v>
      </c>
      <c r="L2156" t="s">
        <v>1799</v>
      </c>
      <c r="M2156" t="s">
        <v>1799</v>
      </c>
      <c r="N2156" t="s">
        <v>1799</v>
      </c>
      <c r="O2156" s="184" t="str">
        <f>"["&amp;$C2156&amp;"]["&amp;$D2156&amp;"]["&amp;$F2156&amp;"]"</f>
        <v>[S05_ContinuousEmissionsMeasurementDetail][17][ContinuousMeasurementTotalEmissions]</v>
      </c>
    </row>
    <row r="2157" spans="1:15" x14ac:dyDescent="0.3">
      <c r="A2157" t="s">
        <v>1793</v>
      </c>
      <c r="B2157" t="s">
        <v>2259</v>
      </c>
      <c r="C2157" t="s">
        <v>2261</v>
      </c>
      <c r="D2157">
        <v>18</v>
      </c>
      <c r="E2157" t="s">
        <v>1447</v>
      </c>
      <c r="F2157" t="s">
        <v>2288</v>
      </c>
      <c r="G2157" t="s">
        <v>1892</v>
      </c>
      <c r="H2157" t="s">
        <v>1799</v>
      </c>
      <c r="I2157" t="s">
        <v>1799</v>
      </c>
      <c r="J2157">
        <v>56119</v>
      </c>
      <c r="K2157" t="s">
        <v>1799</v>
      </c>
      <c r="L2157" t="s">
        <v>1799</v>
      </c>
      <c r="M2157" t="s">
        <v>1799</v>
      </c>
      <c r="N2157" t="s">
        <v>1799</v>
      </c>
      <c r="O2157" s="184" t="str">
        <f>"["&amp;$C2157&amp;"]["&amp;$D2157&amp;"]["&amp;$F2157&amp;"]"</f>
        <v>[S05_ContinuousEmissionsMeasurementDetail][18][ContinuousMeasurementTotalEmissions]</v>
      </c>
    </row>
    <row r="2158" spans="1:15" x14ac:dyDescent="0.3">
      <c r="A2158" t="s">
        <v>1793</v>
      </c>
      <c r="B2158" t="s">
        <v>2259</v>
      </c>
      <c r="C2158" t="s">
        <v>2261</v>
      </c>
      <c r="D2158">
        <v>19</v>
      </c>
      <c r="E2158" t="s">
        <v>1447</v>
      </c>
      <c r="F2158" t="s">
        <v>2288</v>
      </c>
      <c r="G2158" t="s">
        <v>1892</v>
      </c>
      <c r="H2158" t="s">
        <v>1799</v>
      </c>
      <c r="I2158" t="s">
        <v>1799</v>
      </c>
      <c r="J2158">
        <v>21961</v>
      </c>
      <c r="K2158" t="s">
        <v>1799</v>
      </c>
      <c r="L2158" t="s">
        <v>1799</v>
      </c>
      <c r="M2158" t="s">
        <v>1799</v>
      </c>
      <c r="N2158" t="s">
        <v>1799</v>
      </c>
      <c r="O2158" s="184" t="str">
        <f>"["&amp;$C2158&amp;"]["&amp;$D2158&amp;"]["&amp;$F2158&amp;"]"</f>
        <v>[S05_ContinuousEmissionsMeasurementDetail][19][ContinuousMeasurementTotalEmissions]</v>
      </c>
    </row>
    <row r="2159" spans="1:15" x14ac:dyDescent="0.3">
      <c r="A2159" t="s">
        <v>1793</v>
      </c>
      <c r="B2159" t="s">
        <v>2259</v>
      </c>
      <c r="C2159" t="s">
        <v>2261</v>
      </c>
      <c r="D2159">
        <v>20</v>
      </c>
      <c r="E2159" t="s">
        <v>1447</v>
      </c>
      <c r="F2159" t="s">
        <v>2288</v>
      </c>
      <c r="G2159" t="s">
        <v>1892</v>
      </c>
      <c r="H2159" t="s">
        <v>1799</v>
      </c>
      <c r="I2159" t="s">
        <v>1799</v>
      </c>
      <c r="J2159">
        <v>7381</v>
      </c>
      <c r="K2159" t="s">
        <v>1799</v>
      </c>
      <c r="L2159" t="s">
        <v>1799</v>
      </c>
      <c r="M2159" t="s">
        <v>1799</v>
      </c>
      <c r="N2159" t="s">
        <v>1799</v>
      </c>
      <c r="O2159" s="184" t="str">
        <f>"["&amp;$C2159&amp;"]["&amp;$D2159&amp;"]["&amp;$F2159&amp;"]"</f>
        <v>[S05_ContinuousEmissionsMeasurementDetail][20][ContinuousMeasurementTotalEmissions]</v>
      </c>
    </row>
    <row r="2160" spans="1:15" x14ac:dyDescent="0.3">
      <c r="A2160" t="s">
        <v>1793</v>
      </c>
      <c r="B2160" t="s">
        <v>2259</v>
      </c>
      <c r="C2160" t="s">
        <v>2261</v>
      </c>
      <c r="D2160">
        <v>21</v>
      </c>
      <c r="E2160" t="s">
        <v>1447</v>
      </c>
      <c r="F2160" t="s">
        <v>2288</v>
      </c>
      <c r="G2160" t="s">
        <v>1892</v>
      </c>
      <c r="H2160" t="s">
        <v>1799</v>
      </c>
      <c r="I2160" t="s">
        <v>1799</v>
      </c>
      <c r="J2160">
        <v>3512</v>
      </c>
      <c r="K2160" t="s">
        <v>1799</v>
      </c>
      <c r="L2160" t="s">
        <v>1799</v>
      </c>
      <c r="M2160" t="s">
        <v>1799</v>
      </c>
      <c r="N2160" t="s">
        <v>1799</v>
      </c>
      <c r="O2160" s="184" t="str">
        <f>"["&amp;$C2160&amp;"]["&amp;$D2160&amp;"]["&amp;$F2160&amp;"]"</f>
        <v>[S05_ContinuousEmissionsMeasurementDetail][21][ContinuousMeasurementTotalEmissions]</v>
      </c>
    </row>
    <row r="2161" spans="1:15" x14ac:dyDescent="0.3">
      <c r="A2161" t="s">
        <v>1793</v>
      </c>
      <c r="B2161" t="s">
        <v>2259</v>
      </c>
      <c r="C2161" t="s">
        <v>2261</v>
      </c>
      <c r="D2161">
        <v>22</v>
      </c>
      <c r="E2161" t="s">
        <v>1447</v>
      </c>
      <c r="F2161" t="s">
        <v>2288</v>
      </c>
      <c r="G2161" t="s">
        <v>1892</v>
      </c>
      <c r="H2161" t="s">
        <v>1799</v>
      </c>
      <c r="I2161" t="s">
        <v>1799</v>
      </c>
      <c r="J2161">
        <v>12096</v>
      </c>
      <c r="K2161" t="s">
        <v>1799</v>
      </c>
      <c r="L2161" t="s">
        <v>1799</v>
      </c>
      <c r="M2161" t="s">
        <v>1799</v>
      </c>
      <c r="N2161" t="s">
        <v>1799</v>
      </c>
      <c r="O2161" s="184" t="str">
        <f>"["&amp;$C2161&amp;"]["&amp;$D2161&amp;"]["&amp;$F2161&amp;"]"</f>
        <v>[S05_ContinuousEmissionsMeasurementDetail][22][ContinuousMeasurementTotalEmissions]</v>
      </c>
    </row>
    <row r="2162" spans="1:15" x14ac:dyDescent="0.3">
      <c r="A2162" t="s">
        <v>1793</v>
      </c>
      <c r="B2162" t="s">
        <v>2259</v>
      </c>
      <c r="C2162" t="s">
        <v>2261</v>
      </c>
      <c r="D2162">
        <v>23</v>
      </c>
      <c r="E2162" t="s">
        <v>1447</v>
      </c>
      <c r="F2162" t="s">
        <v>2288</v>
      </c>
      <c r="G2162" t="s">
        <v>1892</v>
      </c>
      <c r="H2162" t="s">
        <v>1799</v>
      </c>
      <c r="I2162" t="s">
        <v>1799</v>
      </c>
      <c r="J2162">
        <v>19364</v>
      </c>
      <c r="K2162" t="s">
        <v>1799</v>
      </c>
      <c r="L2162" t="s">
        <v>1799</v>
      </c>
      <c r="M2162" t="s">
        <v>1799</v>
      </c>
      <c r="N2162" t="s">
        <v>1799</v>
      </c>
      <c r="O2162" s="184" t="str">
        <f>"["&amp;$C2162&amp;"]["&amp;$D2162&amp;"]["&amp;$F2162&amp;"]"</f>
        <v>[S05_ContinuousEmissionsMeasurementDetail][23][ContinuousMeasurementTotalEmissions]</v>
      </c>
    </row>
    <row r="2163" spans="1:15" x14ac:dyDescent="0.3">
      <c r="A2163" t="s">
        <v>1793</v>
      </c>
      <c r="B2163" t="s">
        <v>2259</v>
      </c>
      <c r="C2163" t="s">
        <v>2261</v>
      </c>
      <c r="D2163">
        <v>24</v>
      </c>
      <c r="E2163" t="s">
        <v>1447</v>
      </c>
      <c r="F2163" t="s">
        <v>2288</v>
      </c>
      <c r="G2163" t="s">
        <v>1892</v>
      </c>
      <c r="H2163" t="s">
        <v>1799</v>
      </c>
      <c r="I2163" t="s">
        <v>1799</v>
      </c>
      <c r="J2163">
        <v>8750</v>
      </c>
      <c r="K2163" t="s">
        <v>1799</v>
      </c>
      <c r="L2163" t="s">
        <v>1799</v>
      </c>
      <c r="M2163" t="s">
        <v>1799</v>
      </c>
      <c r="N2163" t="s">
        <v>1799</v>
      </c>
      <c r="O2163" s="184" t="str">
        <f>"["&amp;$C2163&amp;"]["&amp;$D2163&amp;"]["&amp;$F2163&amp;"]"</f>
        <v>[S05_ContinuousEmissionsMeasurementDetail][24][ContinuousMeasurementTotalEmissions]</v>
      </c>
    </row>
    <row r="2164" spans="1:15" x14ac:dyDescent="0.3">
      <c r="A2164" t="s">
        <v>1793</v>
      </c>
      <c r="B2164" t="s">
        <v>2259</v>
      </c>
      <c r="C2164" t="s">
        <v>2261</v>
      </c>
      <c r="D2164">
        <v>25</v>
      </c>
      <c r="E2164" t="s">
        <v>1447</v>
      </c>
      <c r="F2164" t="s">
        <v>2288</v>
      </c>
      <c r="G2164" t="s">
        <v>1892</v>
      </c>
      <c r="H2164" t="s">
        <v>1799</v>
      </c>
      <c r="I2164" t="s">
        <v>1799</v>
      </c>
      <c r="J2164">
        <v>86456</v>
      </c>
      <c r="K2164" t="s">
        <v>1799</v>
      </c>
      <c r="L2164" t="s">
        <v>1799</v>
      </c>
      <c r="M2164" t="s">
        <v>1799</v>
      </c>
      <c r="N2164" t="s">
        <v>1799</v>
      </c>
      <c r="O2164" s="184" t="str">
        <f>"["&amp;$C2164&amp;"]["&amp;$D2164&amp;"]["&amp;$F2164&amp;"]"</f>
        <v>[S05_ContinuousEmissionsMeasurementDetail][25][ContinuousMeasurementTotalEmissions]</v>
      </c>
    </row>
    <row r="2165" spans="1:15" x14ac:dyDescent="0.3">
      <c r="A2165" t="s">
        <v>1793</v>
      </c>
      <c r="B2165" t="s">
        <v>2259</v>
      </c>
      <c r="C2165" t="s">
        <v>2261</v>
      </c>
      <c r="D2165">
        <v>26</v>
      </c>
      <c r="E2165" t="s">
        <v>1447</v>
      </c>
      <c r="F2165" t="s">
        <v>2288</v>
      </c>
      <c r="G2165" t="s">
        <v>1892</v>
      </c>
      <c r="H2165" t="s">
        <v>1799</v>
      </c>
      <c r="I2165" t="s">
        <v>1799</v>
      </c>
      <c r="J2165">
        <v>74390</v>
      </c>
      <c r="K2165" t="s">
        <v>1799</v>
      </c>
      <c r="L2165" t="s">
        <v>1799</v>
      </c>
      <c r="M2165" t="s">
        <v>1799</v>
      </c>
      <c r="N2165" t="s">
        <v>1799</v>
      </c>
      <c r="O2165" s="184" t="str">
        <f>"["&amp;$C2165&amp;"]["&amp;$D2165&amp;"]["&amp;$F2165&amp;"]"</f>
        <v>[S05_ContinuousEmissionsMeasurementDetail][26][ContinuousMeasurementTotalEmissions]</v>
      </c>
    </row>
    <row r="2166" spans="1:15" x14ac:dyDescent="0.3">
      <c r="A2166" t="s">
        <v>1793</v>
      </c>
      <c r="B2166" t="s">
        <v>2259</v>
      </c>
      <c r="C2166" t="s">
        <v>2261</v>
      </c>
      <c r="D2166">
        <v>27</v>
      </c>
      <c r="E2166" t="s">
        <v>1447</v>
      </c>
      <c r="F2166" t="s">
        <v>2288</v>
      </c>
      <c r="G2166" t="s">
        <v>1892</v>
      </c>
      <c r="H2166" t="s">
        <v>1799</v>
      </c>
      <c r="I2166" t="s">
        <v>1799</v>
      </c>
      <c r="J2166">
        <v>2575</v>
      </c>
      <c r="K2166" t="s">
        <v>1799</v>
      </c>
      <c r="L2166" t="s">
        <v>1799</v>
      </c>
      <c r="M2166" t="s">
        <v>1799</v>
      </c>
      <c r="N2166" t="s">
        <v>1799</v>
      </c>
      <c r="O2166" s="184" t="str">
        <f>"["&amp;$C2166&amp;"]["&amp;$D2166&amp;"]["&amp;$F2166&amp;"]"</f>
        <v>[S05_ContinuousEmissionsMeasurementDetail][27][ContinuousMeasurementTotalEmissions]</v>
      </c>
    </row>
    <row r="2167" spans="1:15" x14ac:dyDescent="0.3">
      <c r="A2167" t="s">
        <v>1793</v>
      </c>
      <c r="B2167" t="s">
        <v>2259</v>
      </c>
      <c r="C2167" t="s">
        <v>2261</v>
      </c>
      <c r="D2167">
        <v>28</v>
      </c>
      <c r="E2167" t="s">
        <v>1447</v>
      </c>
      <c r="F2167" t="s">
        <v>2288</v>
      </c>
      <c r="G2167" t="s">
        <v>1892</v>
      </c>
      <c r="H2167" t="s">
        <v>1799</v>
      </c>
      <c r="I2167" t="s">
        <v>1799</v>
      </c>
      <c r="J2167">
        <v>33254</v>
      </c>
      <c r="K2167" t="s">
        <v>1799</v>
      </c>
      <c r="L2167" t="s">
        <v>1799</v>
      </c>
      <c r="M2167" t="s">
        <v>1799</v>
      </c>
      <c r="N2167" t="s">
        <v>1799</v>
      </c>
      <c r="O2167" s="184" t="str">
        <f>"["&amp;$C2167&amp;"]["&amp;$D2167&amp;"]["&amp;$F2167&amp;"]"</f>
        <v>[S05_ContinuousEmissionsMeasurementDetail][28][ContinuousMeasurementTotalEmissions]</v>
      </c>
    </row>
    <row r="2168" spans="1:15" x14ac:dyDescent="0.3">
      <c r="A2168" t="s">
        <v>1793</v>
      </c>
      <c r="B2168" t="s">
        <v>2259</v>
      </c>
      <c r="C2168" t="s">
        <v>2261</v>
      </c>
      <c r="D2168">
        <v>29</v>
      </c>
      <c r="E2168" t="s">
        <v>1447</v>
      </c>
      <c r="F2168" t="s">
        <v>2288</v>
      </c>
      <c r="G2168" t="s">
        <v>1892</v>
      </c>
      <c r="H2168" t="s">
        <v>1799</v>
      </c>
      <c r="I2168" t="s">
        <v>1799</v>
      </c>
      <c r="J2168">
        <v>166054</v>
      </c>
      <c r="K2168" t="s">
        <v>1799</v>
      </c>
      <c r="L2168" t="s">
        <v>1799</v>
      </c>
      <c r="M2168" t="s">
        <v>1799</v>
      </c>
      <c r="N2168" t="s">
        <v>1799</v>
      </c>
      <c r="O2168" s="184" t="str">
        <f>"["&amp;$C2168&amp;"]["&amp;$D2168&amp;"]["&amp;$F2168&amp;"]"</f>
        <v>[S05_ContinuousEmissionsMeasurementDetail][29][ContinuousMeasurementTotalEmissions]</v>
      </c>
    </row>
    <row r="2169" spans="1:15" x14ac:dyDescent="0.3">
      <c r="A2169" t="s">
        <v>1793</v>
      </c>
      <c r="B2169" t="s">
        <v>2259</v>
      </c>
      <c r="C2169" t="s">
        <v>2261</v>
      </c>
      <c r="D2169">
        <v>30</v>
      </c>
      <c r="E2169" t="s">
        <v>1447</v>
      </c>
      <c r="F2169" t="s">
        <v>2288</v>
      </c>
      <c r="G2169" t="s">
        <v>1892</v>
      </c>
      <c r="H2169" t="s">
        <v>1799</v>
      </c>
      <c r="I2169" t="s">
        <v>1799</v>
      </c>
      <c r="J2169">
        <v>3810</v>
      </c>
      <c r="K2169" t="s">
        <v>1799</v>
      </c>
      <c r="L2169" t="s">
        <v>1799</v>
      </c>
      <c r="M2169" t="s">
        <v>1799</v>
      </c>
      <c r="N2169" t="s">
        <v>1799</v>
      </c>
      <c r="O2169" s="184" t="str">
        <f>"["&amp;$C2169&amp;"]["&amp;$D2169&amp;"]["&amp;$F2169&amp;"]"</f>
        <v>[S05_ContinuousEmissionsMeasurementDetail][30][ContinuousMeasurementTotalEmissions]</v>
      </c>
    </row>
    <row r="2170" spans="1:15" x14ac:dyDescent="0.3">
      <c r="A2170" t="s">
        <v>1793</v>
      </c>
      <c r="B2170" t="s">
        <v>2259</v>
      </c>
      <c r="C2170" t="s">
        <v>2261</v>
      </c>
      <c r="D2170">
        <v>31</v>
      </c>
      <c r="E2170" t="s">
        <v>1447</v>
      </c>
      <c r="F2170" t="s">
        <v>2288</v>
      </c>
      <c r="G2170" t="s">
        <v>1892</v>
      </c>
      <c r="H2170" t="s">
        <v>1799</v>
      </c>
      <c r="I2170" t="s">
        <v>1799</v>
      </c>
      <c r="J2170">
        <v>12551</v>
      </c>
      <c r="K2170" t="s">
        <v>1799</v>
      </c>
      <c r="L2170" t="s">
        <v>1799</v>
      </c>
      <c r="M2170" t="s">
        <v>1799</v>
      </c>
      <c r="N2170" t="s">
        <v>1799</v>
      </c>
      <c r="O2170" s="184" t="str">
        <f>"["&amp;$C2170&amp;"]["&amp;$D2170&amp;"]["&amp;$F2170&amp;"]"</f>
        <v>[S05_ContinuousEmissionsMeasurementDetail][31][ContinuousMeasurementTotalEmissions]</v>
      </c>
    </row>
    <row r="2171" spans="1:15" x14ac:dyDescent="0.3">
      <c r="A2171" t="s">
        <v>1793</v>
      </c>
      <c r="B2171" t="s">
        <v>2259</v>
      </c>
      <c r="C2171" t="s">
        <v>2261</v>
      </c>
      <c r="D2171">
        <v>32</v>
      </c>
      <c r="E2171" t="s">
        <v>1447</v>
      </c>
      <c r="F2171" t="s">
        <v>2288</v>
      </c>
      <c r="G2171" t="s">
        <v>1892</v>
      </c>
      <c r="H2171" t="s">
        <v>1799</v>
      </c>
      <c r="I2171" t="s">
        <v>1799</v>
      </c>
      <c r="J2171">
        <v>129153</v>
      </c>
      <c r="K2171" t="s">
        <v>1799</v>
      </c>
      <c r="L2171" t="s">
        <v>1799</v>
      </c>
      <c r="M2171" t="s">
        <v>1799</v>
      </c>
      <c r="N2171" t="s">
        <v>1799</v>
      </c>
      <c r="O2171" s="184" t="str">
        <f>"["&amp;$C2171&amp;"]["&amp;$D2171&amp;"]["&amp;$F2171&amp;"]"</f>
        <v>[S05_ContinuousEmissionsMeasurementDetail][32][ContinuousMeasurementTotalEmissions]</v>
      </c>
    </row>
    <row r="2172" spans="1:15" x14ac:dyDescent="0.3">
      <c r="A2172" t="s">
        <v>1793</v>
      </c>
      <c r="B2172" t="s">
        <v>2259</v>
      </c>
      <c r="C2172" t="s">
        <v>2261</v>
      </c>
      <c r="D2172">
        <v>33</v>
      </c>
      <c r="E2172" t="s">
        <v>1447</v>
      </c>
      <c r="F2172" t="s">
        <v>2288</v>
      </c>
      <c r="G2172" t="s">
        <v>1892</v>
      </c>
      <c r="H2172" t="s">
        <v>1799</v>
      </c>
      <c r="I2172" t="s">
        <v>1799</v>
      </c>
      <c r="J2172">
        <v>28269</v>
      </c>
      <c r="K2172" t="s">
        <v>1799</v>
      </c>
      <c r="L2172" t="s">
        <v>1799</v>
      </c>
      <c r="M2172" t="s">
        <v>1799</v>
      </c>
      <c r="N2172" t="s">
        <v>1799</v>
      </c>
      <c r="O2172" s="184" t="str">
        <f>"["&amp;$C2172&amp;"]["&amp;$D2172&amp;"]["&amp;$F2172&amp;"]"</f>
        <v>[S05_ContinuousEmissionsMeasurementDetail][33][ContinuousMeasurementTotalEmissions]</v>
      </c>
    </row>
    <row r="2173" spans="1:15" x14ac:dyDescent="0.3">
      <c r="A2173" t="s">
        <v>1793</v>
      </c>
      <c r="B2173" t="s">
        <v>2259</v>
      </c>
      <c r="C2173" t="s">
        <v>2261</v>
      </c>
      <c r="D2173">
        <v>34</v>
      </c>
      <c r="E2173" t="s">
        <v>1447</v>
      </c>
      <c r="F2173" t="s">
        <v>2288</v>
      </c>
      <c r="G2173" t="s">
        <v>1892</v>
      </c>
      <c r="H2173" t="s">
        <v>1799</v>
      </c>
      <c r="I2173" t="s">
        <v>1799</v>
      </c>
      <c r="J2173">
        <v>0</v>
      </c>
      <c r="K2173" t="s">
        <v>1799</v>
      </c>
      <c r="L2173" t="s">
        <v>1799</v>
      </c>
      <c r="M2173" t="s">
        <v>1799</v>
      </c>
      <c r="N2173" t="s">
        <v>1799</v>
      </c>
      <c r="O2173" s="184" t="str">
        <f>"["&amp;$C2173&amp;"]["&amp;$D2173&amp;"]["&amp;$F2173&amp;"]"</f>
        <v>[S05_ContinuousEmissionsMeasurementDetail][34][ContinuousMeasurementTotalEmissions]</v>
      </c>
    </row>
    <row r="2174" spans="1:15" x14ac:dyDescent="0.3">
      <c r="A2174" t="s">
        <v>1793</v>
      </c>
      <c r="B2174" t="s">
        <v>2259</v>
      </c>
      <c r="C2174" t="s">
        <v>2261</v>
      </c>
      <c r="D2174">
        <v>35</v>
      </c>
      <c r="E2174" t="s">
        <v>1447</v>
      </c>
      <c r="F2174" t="s">
        <v>2288</v>
      </c>
      <c r="G2174" t="s">
        <v>1892</v>
      </c>
      <c r="H2174" t="s">
        <v>1799</v>
      </c>
      <c r="I2174" t="s">
        <v>1799</v>
      </c>
      <c r="J2174">
        <v>105</v>
      </c>
      <c r="K2174" t="s">
        <v>1799</v>
      </c>
      <c r="L2174" t="s">
        <v>1799</v>
      </c>
      <c r="M2174" t="s">
        <v>1799</v>
      </c>
      <c r="N2174" t="s">
        <v>1799</v>
      </c>
      <c r="O2174" s="184" t="str">
        <f>"["&amp;$C2174&amp;"]["&amp;$D2174&amp;"]["&amp;$F2174&amp;"]"</f>
        <v>[S05_ContinuousEmissionsMeasurementDetail][35][ContinuousMeasurementTotalEmissions]</v>
      </c>
    </row>
    <row r="2175" spans="1:15" x14ac:dyDescent="0.3">
      <c r="A2175" t="s">
        <v>1793</v>
      </c>
      <c r="B2175" t="s">
        <v>2259</v>
      </c>
      <c r="C2175" t="s">
        <v>2261</v>
      </c>
      <c r="D2175">
        <v>36</v>
      </c>
      <c r="E2175" t="s">
        <v>1447</v>
      </c>
      <c r="F2175" t="s">
        <v>2288</v>
      </c>
      <c r="G2175" t="s">
        <v>1892</v>
      </c>
      <c r="H2175" t="s">
        <v>1799</v>
      </c>
      <c r="I2175" t="s">
        <v>1799</v>
      </c>
      <c r="J2175">
        <v>841</v>
      </c>
      <c r="K2175" t="s">
        <v>1799</v>
      </c>
      <c r="L2175" t="s">
        <v>1799</v>
      </c>
      <c r="M2175" t="s">
        <v>1799</v>
      </c>
      <c r="N2175" t="s">
        <v>1799</v>
      </c>
      <c r="O2175" s="184" t="str">
        <f>"["&amp;$C2175&amp;"]["&amp;$D2175&amp;"]["&amp;$F2175&amp;"]"</f>
        <v>[S05_ContinuousEmissionsMeasurementDetail][36][ContinuousMeasurementTotalEmissions]</v>
      </c>
    </row>
    <row r="2176" spans="1:15" x14ac:dyDescent="0.3">
      <c r="A2176" t="s">
        <v>1793</v>
      </c>
      <c r="B2176" t="s">
        <v>2259</v>
      </c>
      <c r="C2176" t="s">
        <v>2261</v>
      </c>
      <c r="D2176">
        <v>37</v>
      </c>
      <c r="E2176" t="s">
        <v>1447</v>
      </c>
      <c r="F2176" t="s">
        <v>2288</v>
      </c>
      <c r="G2176" t="s">
        <v>1892</v>
      </c>
      <c r="H2176" t="s">
        <v>1799</v>
      </c>
      <c r="I2176" t="s">
        <v>1799</v>
      </c>
      <c r="J2176">
        <v>32475</v>
      </c>
      <c r="K2176" t="s">
        <v>1799</v>
      </c>
      <c r="L2176" t="s">
        <v>1799</v>
      </c>
      <c r="M2176" t="s">
        <v>1799</v>
      </c>
      <c r="N2176" t="s">
        <v>1799</v>
      </c>
      <c r="O2176" s="184" t="str">
        <f>"["&amp;$C2176&amp;"]["&amp;$D2176&amp;"]["&amp;$F2176&amp;"]"</f>
        <v>[S05_ContinuousEmissionsMeasurementDetail][37][ContinuousMeasurementTotalEmissions]</v>
      </c>
    </row>
    <row r="2177" spans="1:15" x14ac:dyDescent="0.3">
      <c r="A2177" t="s">
        <v>1793</v>
      </c>
      <c r="B2177" t="s">
        <v>2259</v>
      </c>
      <c r="C2177" t="s">
        <v>2261</v>
      </c>
      <c r="D2177">
        <v>38</v>
      </c>
      <c r="E2177" t="s">
        <v>1447</v>
      </c>
      <c r="F2177" t="s">
        <v>2288</v>
      </c>
      <c r="G2177" t="s">
        <v>1892</v>
      </c>
      <c r="H2177" t="s">
        <v>1799</v>
      </c>
      <c r="I2177" t="s">
        <v>1799</v>
      </c>
      <c r="J2177">
        <v>0</v>
      </c>
      <c r="K2177" t="s">
        <v>1799</v>
      </c>
      <c r="L2177" t="s">
        <v>1799</v>
      </c>
      <c r="M2177" t="s">
        <v>1799</v>
      </c>
      <c r="N2177" t="s">
        <v>1799</v>
      </c>
      <c r="O2177" s="184" t="str">
        <f>"["&amp;$C2177&amp;"]["&amp;$D2177&amp;"]["&amp;$F2177&amp;"]"</f>
        <v>[S05_ContinuousEmissionsMeasurementDetail][38][ContinuousMeasurementTotalEmissions]</v>
      </c>
    </row>
    <row r="2178" spans="1:15" x14ac:dyDescent="0.3">
      <c r="A2178" t="s">
        <v>1793</v>
      </c>
      <c r="B2178" t="s">
        <v>2259</v>
      </c>
      <c r="C2178" t="s">
        <v>2261</v>
      </c>
      <c r="D2178">
        <v>1</v>
      </c>
      <c r="E2178" t="s">
        <v>1447</v>
      </c>
      <c r="F2178" t="s">
        <v>2289</v>
      </c>
      <c r="G2178" t="s">
        <v>1826</v>
      </c>
      <c r="H2178" t="s">
        <v>1799</v>
      </c>
      <c r="I2178" t="s">
        <v>1799</v>
      </c>
      <c r="J2178" t="s">
        <v>1799</v>
      </c>
      <c r="K2178" t="s">
        <v>1799</v>
      </c>
      <c r="L2178" t="s">
        <v>1447</v>
      </c>
      <c r="M2178" t="s">
        <v>1799</v>
      </c>
      <c r="N2178" t="s">
        <v>1799</v>
      </c>
      <c r="O2178" s="184" t="str">
        <f>"["&amp;$C2178&amp;"]["&amp;$D2178&amp;"]["&amp;$F2178&amp;"]"</f>
        <v>[S05_ContinuousEmissionsMeasurementDetail][1][FlueGasContainBiomass]</v>
      </c>
    </row>
    <row r="2179" spans="1:15" x14ac:dyDescent="0.3">
      <c r="A2179" t="s">
        <v>1793</v>
      </c>
      <c r="B2179" t="s">
        <v>2259</v>
      </c>
      <c r="C2179" t="s">
        <v>2261</v>
      </c>
      <c r="D2179">
        <v>2</v>
      </c>
      <c r="E2179" t="s">
        <v>1447</v>
      </c>
      <c r="F2179" t="s">
        <v>2289</v>
      </c>
      <c r="G2179" t="s">
        <v>1826</v>
      </c>
      <c r="H2179" t="s">
        <v>1799</v>
      </c>
      <c r="I2179" t="s">
        <v>1799</v>
      </c>
      <c r="J2179" t="s">
        <v>1799</v>
      </c>
      <c r="K2179" t="s">
        <v>1799</v>
      </c>
      <c r="L2179" t="s">
        <v>1447</v>
      </c>
      <c r="M2179" t="s">
        <v>1799</v>
      </c>
      <c r="N2179" t="s">
        <v>1799</v>
      </c>
      <c r="O2179" s="184" t="str">
        <f>"["&amp;$C2179&amp;"]["&amp;$D2179&amp;"]["&amp;$F2179&amp;"]"</f>
        <v>[S05_ContinuousEmissionsMeasurementDetail][2][FlueGasContainBiomass]</v>
      </c>
    </row>
    <row r="2180" spans="1:15" x14ac:dyDescent="0.3">
      <c r="A2180" t="s">
        <v>1793</v>
      </c>
      <c r="B2180" t="s">
        <v>2259</v>
      </c>
      <c r="C2180" t="s">
        <v>2261</v>
      </c>
      <c r="D2180">
        <v>3</v>
      </c>
      <c r="E2180" t="s">
        <v>1447</v>
      </c>
      <c r="F2180" t="s">
        <v>2289</v>
      </c>
      <c r="G2180" t="s">
        <v>1826</v>
      </c>
      <c r="H2180" t="s">
        <v>1799</v>
      </c>
      <c r="I2180" t="s">
        <v>1799</v>
      </c>
      <c r="J2180" t="s">
        <v>1799</v>
      </c>
      <c r="K2180" t="s">
        <v>1799</v>
      </c>
      <c r="L2180" t="s">
        <v>1447</v>
      </c>
      <c r="M2180" t="s">
        <v>1799</v>
      </c>
      <c r="N2180" t="s">
        <v>1799</v>
      </c>
      <c r="O2180" s="184" t="str">
        <f>"["&amp;$C2180&amp;"]["&amp;$D2180&amp;"]["&amp;$F2180&amp;"]"</f>
        <v>[S05_ContinuousEmissionsMeasurementDetail][3][FlueGasContainBiomass]</v>
      </c>
    </row>
    <row r="2181" spans="1:15" x14ac:dyDescent="0.3">
      <c r="A2181" t="s">
        <v>1793</v>
      </c>
      <c r="B2181" t="s">
        <v>2259</v>
      </c>
      <c r="C2181" t="s">
        <v>2261</v>
      </c>
      <c r="D2181">
        <v>4</v>
      </c>
      <c r="E2181" t="s">
        <v>1447</v>
      </c>
      <c r="F2181" t="s">
        <v>2289</v>
      </c>
      <c r="G2181" t="s">
        <v>1826</v>
      </c>
      <c r="H2181" t="s">
        <v>1799</v>
      </c>
      <c r="I2181" t="s">
        <v>1799</v>
      </c>
      <c r="J2181" t="s">
        <v>1799</v>
      </c>
      <c r="K2181" t="s">
        <v>1799</v>
      </c>
      <c r="L2181" t="s">
        <v>1447</v>
      </c>
      <c r="M2181" t="s">
        <v>1799</v>
      </c>
      <c r="N2181" t="s">
        <v>1799</v>
      </c>
      <c r="O2181" s="184" t="str">
        <f>"["&amp;$C2181&amp;"]["&amp;$D2181&amp;"]["&amp;$F2181&amp;"]"</f>
        <v>[S05_ContinuousEmissionsMeasurementDetail][4][FlueGasContainBiomass]</v>
      </c>
    </row>
    <row r="2182" spans="1:15" x14ac:dyDescent="0.3">
      <c r="A2182" t="s">
        <v>1793</v>
      </c>
      <c r="B2182" t="s">
        <v>2259</v>
      </c>
      <c r="C2182" t="s">
        <v>2261</v>
      </c>
      <c r="D2182">
        <v>5</v>
      </c>
      <c r="E2182" t="s">
        <v>1447</v>
      </c>
      <c r="F2182" t="s">
        <v>2289</v>
      </c>
      <c r="G2182" t="s">
        <v>1826</v>
      </c>
      <c r="H2182" t="s">
        <v>1799</v>
      </c>
      <c r="I2182" t="s">
        <v>1799</v>
      </c>
      <c r="J2182" t="s">
        <v>1799</v>
      </c>
      <c r="K2182" t="s">
        <v>1799</v>
      </c>
      <c r="L2182" t="s">
        <v>1447</v>
      </c>
      <c r="M2182" t="s">
        <v>1799</v>
      </c>
      <c r="N2182" t="s">
        <v>1799</v>
      </c>
      <c r="O2182" s="184" t="str">
        <f>"["&amp;$C2182&amp;"]["&amp;$D2182&amp;"]["&amp;$F2182&amp;"]"</f>
        <v>[S05_ContinuousEmissionsMeasurementDetail][5][FlueGasContainBiomass]</v>
      </c>
    </row>
    <row r="2183" spans="1:15" x14ac:dyDescent="0.3">
      <c r="A2183" t="s">
        <v>1793</v>
      </c>
      <c r="B2183" t="s">
        <v>2259</v>
      </c>
      <c r="C2183" t="s">
        <v>2261</v>
      </c>
      <c r="D2183">
        <v>6</v>
      </c>
      <c r="E2183" t="s">
        <v>1447</v>
      </c>
      <c r="F2183" t="s">
        <v>2289</v>
      </c>
      <c r="G2183" t="s">
        <v>1826</v>
      </c>
      <c r="H2183" t="s">
        <v>1799</v>
      </c>
      <c r="I2183" t="s">
        <v>1799</v>
      </c>
      <c r="J2183" t="s">
        <v>1799</v>
      </c>
      <c r="K2183" t="s">
        <v>1799</v>
      </c>
      <c r="L2183" t="s">
        <v>1447</v>
      </c>
      <c r="M2183" t="s">
        <v>1799</v>
      </c>
      <c r="N2183" t="s">
        <v>1799</v>
      </c>
      <c r="O2183" s="184" t="str">
        <f>"["&amp;$C2183&amp;"]["&amp;$D2183&amp;"]["&amp;$F2183&amp;"]"</f>
        <v>[S05_ContinuousEmissionsMeasurementDetail][6][FlueGasContainBiomass]</v>
      </c>
    </row>
    <row r="2184" spans="1:15" x14ac:dyDescent="0.3">
      <c r="A2184" t="s">
        <v>1793</v>
      </c>
      <c r="B2184" t="s">
        <v>2259</v>
      </c>
      <c r="C2184" t="s">
        <v>2261</v>
      </c>
      <c r="D2184">
        <v>7</v>
      </c>
      <c r="E2184" t="s">
        <v>1447</v>
      </c>
      <c r="F2184" t="s">
        <v>2289</v>
      </c>
      <c r="G2184" t="s">
        <v>1826</v>
      </c>
      <c r="H2184" t="s">
        <v>1799</v>
      </c>
      <c r="I2184" t="s">
        <v>1799</v>
      </c>
      <c r="J2184" t="s">
        <v>1799</v>
      </c>
      <c r="K2184" t="s">
        <v>1799</v>
      </c>
      <c r="L2184" t="s">
        <v>1447</v>
      </c>
      <c r="M2184" t="s">
        <v>1799</v>
      </c>
      <c r="N2184" t="s">
        <v>1799</v>
      </c>
      <c r="O2184" s="184" t="str">
        <f>"["&amp;$C2184&amp;"]["&amp;$D2184&amp;"]["&amp;$F2184&amp;"]"</f>
        <v>[S05_ContinuousEmissionsMeasurementDetail][7][FlueGasContainBiomass]</v>
      </c>
    </row>
    <row r="2185" spans="1:15" x14ac:dyDescent="0.3">
      <c r="A2185" t="s">
        <v>1793</v>
      </c>
      <c r="B2185" t="s">
        <v>2259</v>
      </c>
      <c r="C2185" t="s">
        <v>2261</v>
      </c>
      <c r="D2185">
        <v>8</v>
      </c>
      <c r="E2185" t="s">
        <v>1447</v>
      </c>
      <c r="F2185" t="s">
        <v>2289</v>
      </c>
      <c r="G2185" t="s">
        <v>1826</v>
      </c>
      <c r="H2185" t="s">
        <v>1799</v>
      </c>
      <c r="I2185" t="s">
        <v>1799</v>
      </c>
      <c r="J2185" t="s">
        <v>1799</v>
      </c>
      <c r="K2185" t="s">
        <v>1799</v>
      </c>
      <c r="L2185" t="s">
        <v>1447</v>
      </c>
      <c r="M2185" t="s">
        <v>1799</v>
      </c>
      <c r="N2185" t="s">
        <v>1799</v>
      </c>
      <c r="O2185" s="184" t="str">
        <f>"["&amp;$C2185&amp;"]["&amp;$D2185&amp;"]["&amp;$F2185&amp;"]"</f>
        <v>[S05_ContinuousEmissionsMeasurementDetail][8][FlueGasContainBiomass]</v>
      </c>
    </row>
    <row r="2186" spans="1:15" x14ac:dyDescent="0.3">
      <c r="A2186" t="s">
        <v>1793</v>
      </c>
      <c r="B2186" t="s">
        <v>2259</v>
      </c>
      <c r="C2186" t="s">
        <v>2261</v>
      </c>
      <c r="D2186">
        <v>9</v>
      </c>
      <c r="E2186" t="s">
        <v>1447</v>
      </c>
      <c r="F2186" t="s">
        <v>2289</v>
      </c>
      <c r="G2186" t="s">
        <v>1826</v>
      </c>
      <c r="H2186" t="s">
        <v>1799</v>
      </c>
      <c r="I2186" t="s">
        <v>1799</v>
      </c>
      <c r="J2186" t="s">
        <v>1799</v>
      </c>
      <c r="K2186" t="s">
        <v>1799</v>
      </c>
      <c r="L2186" t="s">
        <v>1447</v>
      </c>
      <c r="M2186" t="s">
        <v>1799</v>
      </c>
      <c r="N2186" t="s">
        <v>1799</v>
      </c>
      <c r="O2186" s="184" t="str">
        <f>"["&amp;$C2186&amp;"]["&amp;$D2186&amp;"]["&amp;$F2186&amp;"]"</f>
        <v>[S05_ContinuousEmissionsMeasurementDetail][9][FlueGasContainBiomass]</v>
      </c>
    </row>
    <row r="2187" spans="1:15" x14ac:dyDescent="0.3">
      <c r="A2187" t="s">
        <v>1793</v>
      </c>
      <c r="B2187" t="s">
        <v>2259</v>
      </c>
      <c r="C2187" t="s">
        <v>2261</v>
      </c>
      <c r="D2187">
        <v>10</v>
      </c>
      <c r="E2187" t="s">
        <v>1447</v>
      </c>
      <c r="F2187" t="s">
        <v>2289</v>
      </c>
      <c r="G2187" t="s">
        <v>1826</v>
      </c>
      <c r="H2187" t="s">
        <v>1799</v>
      </c>
      <c r="I2187" t="s">
        <v>1799</v>
      </c>
      <c r="J2187" t="s">
        <v>1799</v>
      </c>
      <c r="K2187" t="s">
        <v>1799</v>
      </c>
      <c r="L2187" t="s">
        <v>1447</v>
      </c>
      <c r="M2187" t="s">
        <v>1799</v>
      </c>
      <c r="N2187" t="s">
        <v>1799</v>
      </c>
      <c r="O2187" s="184" t="str">
        <f>"["&amp;$C2187&amp;"]["&amp;$D2187&amp;"]["&amp;$F2187&amp;"]"</f>
        <v>[S05_ContinuousEmissionsMeasurementDetail][10][FlueGasContainBiomass]</v>
      </c>
    </row>
    <row r="2188" spans="1:15" x14ac:dyDescent="0.3">
      <c r="A2188" t="s">
        <v>1793</v>
      </c>
      <c r="B2188" t="s">
        <v>2259</v>
      </c>
      <c r="C2188" t="s">
        <v>2261</v>
      </c>
      <c r="D2188">
        <v>11</v>
      </c>
      <c r="E2188" t="s">
        <v>1447</v>
      </c>
      <c r="F2188" t="s">
        <v>2289</v>
      </c>
      <c r="G2188" t="s">
        <v>1826</v>
      </c>
      <c r="H2188" t="s">
        <v>1799</v>
      </c>
      <c r="I2188" t="s">
        <v>1799</v>
      </c>
      <c r="J2188" t="s">
        <v>1799</v>
      </c>
      <c r="K2188" t="s">
        <v>1799</v>
      </c>
      <c r="L2188" t="s">
        <v>1447</v>
      </c>
      <c r="M2188" t="s">
        <v>1799</v>
      </c>
      <c r="N2188" t="s">
        <v>1799</v>
      </c>
      <c r="O2188" s="184" t="str">
        <f>"["&amp;$C2188&amp;"]["&amp;$D2188&amp;"]["&amp;$F2188&amp;"]"</f>
        <v>[S05_ContinuousEmissionsMeasurementDetail][11][FlueGasContainBiomass]</v>
      </c>
    </row>
    <row r="2189" spans="1:15" x14ac:dyDescent="0.3">
      <c r="A2189" t="s">
        <v>1793</v>
      </c>
      <c r="B2189" t="s">
        <v>2259</v>
      </c>
      <c r="C2189" t="s">
        <v>2261</v>
      </c>
      <c r="D2189">
        <v>12</v>
      </c>
      <c r="E2189" t="s">
        <v>1447</v>
      </c>
      <c r="F2189" t="s">
        <v>2289</v>
      </c>
      <c r="G2189" t="s">
        <v>1826</v>
      </c>
      <c r="H2189" t="s">
        <v>1799</v>
      </c>
      <c r="I2189" t="s">
        <v>1799</v>
      </c>
      <c r="J2189" t="s">
        <v>1799</v>
      </c>
      <c r="K2189" t="s">
        <v>1799</v>
      </c>
      <c r="L2189" t="s">
        <v>1419</v>
      </c>
      <c r="M2189" t="s">
        <v>1799</v>
      </c>
      <c r="N2189" t="s">
        <v>1799</v>
      </c>
      <c r="O2189" s="184" t="str">
        <f>"["&amp;$C2189&amp;"]["&amp;$D2189&amp;"]["&amp;$F2189&amp;"]"</f>
        <v>[S05_ContinuousEmissionsMeasurementDetail][12][FlueGasContainBiomass]</v>
      </c>
    </row>
    <row r="2190" spans="1:15" x14ac:dyDescent="0.3">
      <c r="A2190" t="s">
        <v>1793</v>
      </c>
      <c r="B2190" t="s">
        <v>2259</v>
      </c>
      <c r="C2190" t="s">
        <v>2261</v>
      </c>
      <c r="D2190">
        <v>13</v>
      </c>
      <c r="E2190" t="s">
        <v>1447</v>
      </c>
      <c r="F2190" t="s">
        <v>2289</v>
      </c>
      <c r="G2190" t="s">
        <v>1826</v>
      </c>
      <c r="H2190" t="s">
        <v>1799</v>
      </c>
      <c r="I2190" t="s">
        <v>1799</v>
      </c>
      <c r="J2190" t="s">
        <v>1799</v>
      </c>
      <c r="K2190" t="s">
        <v>1799</v>
      </c>
      <c r="L2190" t="s">
        <v>1447</v>
      </c>
      <c r="M2190" t="s">
        <v>1799</v>
      </c>
      <c r="N2190" t="s">
        <v>1799</v>
      </c>
      <c r="O2190" s="184" t="str">
        <f>"["&amp;$C2190&amp;"]["&amp;$D2190&amp;"]["&amp;$F2190&amp;"]"</f>
        <v>[S05_ContinuousEmissionsMeasurementDetail][13][FlueGasContainBiomass]</v>
      </c>
    </row>
    <row r="2191" spans="1:15" x14ac:dyDescent="0.3">
      <c r="A2191" t="s">
        <v>1793</v>
      </c>
      <c r="B2191" t="s">
        <v>2259</v>
      </c>
      <c r="C2191" t="s">
        <v>2261</v>
      </c>
      <c r="D2191">
        <v>14</v>
      </c>
      <c r="E2191" t="s">
        <v>1447</v>
      </c>
      <c r="F2191" t="s">
        <v>2289</v>
      </c>
      <c r="G2191" t="s">
        <v>1826</v>
      </c>
      <c r="H2191" t="s">
        <v>1799</v>
      </c>
      <c r="I2191" t="s">
        <v>1799</v>
      </c>
      <c r="J2191" t="s">
        <v>1799</v>
      </c>
      <c r="K2191" t="s">
        <v>1799</v>
      </c>
      <c r="L2191" t="s">
        <v>1447</v>
      </c>
      <c r="M2191" t="s">
        <v>1799</v>
      </c>
      <c r="N2191" t="s">
        <v>1799</v>
      </c>
      <c r="O2191" s="184" t="str">
        <f>"["&amp;$C2191&amp;"]["&amp;$D2191&amp;"]["&amp;$F2191&amp;"]"</f>
        <v>[S05_ContinuousEmissionsMeasurementDetail][14][FlueGasContainBiomass]</v>
      </c>
    </row>
    <row r="2192" spans="1:15" x14ac:dyDescent="0.3">
      <c r="A2192" t="s">
        <v>1793</v>
      </c>
      <c r="B2192" t="s">
        <v>2259</v>
      </c>
      <c r="C2192" t="s">
        <v>2261</v>
      </c>
      <c r="D2192">
        <v>15</v>
      </c>
      <c r="E2192" t="s">
        <v>1447</v>
      </c>
      <c r="F2192" t="s">
        <v>2289</v>
      </c>
      <c r="G2192" t="s">
        <v>1826</v>
      </c>
      <c r="H2192" t="s">
        <v>1799</v>
      </c>
      <c r="I2192" t="s">
        <v>1799</v>
      </c>
      <c r="J2192" t="s">
        <v>1799</v>
      </c>
      <c r="K2192" t="s">
        <v>1799</v>
      </c>
      <c r="L2192" t="s">
        <v>1447</v>
      </c>
      <c r="M2192" t="s">
        <v>1799</v>
      </c>
      <c r="N2192" t="s">
        <v>1799</v>
      </c>
      <c r="O2192" s="184" t="str">
        <f>"["&amp;$C2192&amp;"]["&amp;$D2192&amp;"]["&amp;$F2192&amp;"]"</f>
        <v>[S05_ContinuousEmissionsMeasurementDetail][15][FlueGasContainBiomass]</v>
      </c>
    </row>
    <row r="2193" spans="1:15" x14ac:dyDescent="0.3">
      <c r="A2193" t="s">
        <v>1793</v>
      </c>
      <c r="B2193" t="s">
        <v>2259</v>
      </c>
      <c r="C2193" t="s">
        <v>2261</v>
      </c>
      <c r="D2193">
        <v>16</v>
      </c>
      <c r="E2193" t="s">
        <v>1447</v>
      </c>
      <c r="F2193" t="s">
        <v>2289</v>
      </c>
      <c r="G2193" t="s">
        <v>1826</v>
      </c>
      <c r="H2193" t="s">
        <v>1799</v>
      </c>
      <c r="I2193" t="s">
        <v>1799</v>
      </c>
      <c r="J2193" t="s">
        <v>1799</v>
      </c>
      <c r="K2193" t="s">
        <v>1799</v>
      </c>
      <c r="L2193" t="s">
        <v>1447</v>
      </c>
      <c r="M2193" t="s">
        <v>1799</v>
      </c>
      <c r="N2193" t="s">
        <v>1799</v>
      </c>
      <c r="O2193" s="184" t="str">
        <f>"["&amp;$C2193&amp;"]["&amp;$D2193&amp;"]["&amp;$F2193&amp;"]"</f>
        <v>[S05_ContinuousEmissionsMeasurementDetail][16][FlueGasContainBiomass]</v>
      </c>
    </row>
    <row r="2194" spans="1:15" x14ac:dyDescent="0.3">
      <c r="A2194" t="s">
        <v>1793</v>
      </c>
      <c r="B2194" t="s">
        <v>2259</v>
      </c>
      <c r="C2194" t="s">
        <v>2261</v>
      </c>
      <c r="D2194">
        <v>17</v>
      </c>
      <c r="E2194" t="s">
        <v>1447</v>
      </c>
      <c r="F2194" t="s">
        <v>2289</v>
      </c>
      <c r="G2194" t="s">
        <v>1826</v>
      </c>
      <c r="H2194" t="s">
        <v>1799</v>
      </c>
      <c r="I2194" t="s">
        <v>1799</v>
      </c>
      <c r="J2194" t="s">
        <v>1799</v>
      </c>
      <c r="K2194" t="s">
        <v>1799</v>
      </c>
      <c r="L2194" t="s">
        <v>1447</v>
      </c>
      <c r="M2194" t="s">
        <v>1799</v>
      </c>
      <c r="N2194" t="s">
        <v>1799</v>
      </c>
      <c r="O2194" s="184" t="str">
        <f>"["&amp;$C2194&amp;"]["&amp;$D2194&amp;"]["&amp;$F2194&amp;"]"</f>
        <v>[S05_ContinuousEmissionsMeasurementDetail][17][FlueGasContainBiomass]</v>
      </c>
    </row>
    <row r="2195" spans="1:15" x14ac:dyDescent="0.3">
      <c r="A2195" t="s">
        <v>1793</v>
      </c>
      <c r="B2195" t="s">
        <v>2259</v>
      </c>
      <c r="C2195" t="s">
        <v>2261</v>
      </c>
      <c r="D2195">
        <v>18</v>
      </c>
      <c r="E2195" t="s">
        <v>1447</v>
      </c>
      <c r="F2195" t="s">
        <v>2289</v>
      </c>
      <c r="G2195" t="s">
        <v>1826</v>
      </c>
      <c r="H2195" t="s">
        <v>1799</v>
      </c>
      <c r="I2195" t="s">
        <v>1799</v>
      </c>
      <c r="J2195" t="s">
        <v>1799</v>
      </c>
      <c r="K2195" t="s">
        <v>1799</v>
      </c>
      <c r="L2195" t="s">
        <v>1447</v>
      </c>
      <c r="M2195" t="s">
        <v>1799</v>
      </c>
      <c r="N2195" t="s">
        <v>1799</v>
      </c>
      <c r="O2195" s="184" t="str">
        <f>"["&amp;$C2195&amp;"]["&amp;$D2195&amp;"]["&amp;$F2195&amp;"]"</f>
        <v>[S05_ContinuousEmissionsMeasurementDetail][18][FlueGasContainBiomass]</v>
      </c>
    </row>
    <row r="2196" spans="1:15" x14ac:dyDescent="0.3">
      <c r="A2196" t="s">
        <v>1793</v>
      </c>
      <c r="B2196" t="s">
        <v>2259</v>
      </c>
      <c r="C2196" t="s">
        <v>2261</v>
      </c>
      <c r="D2196">
        <v>19</v>
      </c>
      <c r="E2196" t="s">
        <v>1447</v>
      </c>
      <c r="F2196" t="s">
        <v>2289</v>
      </c>
      <c r="G2196" t="s">
        <v>1826</v>
      </c>
      <c r="H2196" t="s">
        <v>1799</v>
      </c>
      <c r="I2196" t="s">
        <v>1799</v>
      </c>
      <c r="J2196" t="s">
        <v>1799</v>
      </c>
      <c r="K2196" t="s">
        <v>1799</v>
      </c>
      <c r="L2196" t="s">
        <v>1447</v>
      </c>
      <c r="M2196" t="s">
        <v>1799</v>
      </c>
      <c r="N2196" t="s">
        <v>1799</v>
      </c>
      <c r="O2196" s="184" t="str">
        <f>"["&amp;$C2196&amp;"]["&amp;$D2196&amp;"]["&amp;$F2196&amp;"]"</f>
        <v>[S05_ContinuousEmissionsMeasurementDetail][19][FlueGasContainBiomass]</v>
      </c>
    </row>
    <row r="2197" spans="1:15" x14ac:dyDescent="0.3">
      <c r="A2197" t="s">
        <v>1793</v>
      </c>
      <c r="B2197" t="s">
        <v>2259</v>
      </c>
      <c r="C2197" t="s">
        <v>2261</v>
      </c>
      <c r="D2197">
        <v>20</v>
      </c>
      <c r="E2197" t="s">
        <v>1447</v>
      </c>
      <c r="F2197" t="s">
        <v>2289</v>
      </c>
      <c r="G2197" t="s">
        <v>1826</v>
      </c>
      <c r="H2197" t="s">
        <v>1799</v>
      </c>
      <c r="I2197" t="s">
        <v>1799</v>
      </c>
      <c r="J2197" t="s">
        <v>1799</v>
      </c>
      <c r="K2197" t="s">
        <v>1799</v>
      </c>
      <c r="L2197" t="s">
        <v>1447</v>
      </c>
      <c r="M2197" t="s">
        <v>1799</v>
      </c>
      <c r="N2197" t="s">
        <v>1799</v>
      </c>
      <c r="O2197" s="184" t="str">
        <f>"["&amp;$C2197&amp;"]["&amp;$D2197&amp;"]["&amp;$F2197&amp;"]"</f>
        <v>[S05_ContinuousEmissionsMeasurementDetail][20][FlueGasContainBiomass]</v>
      </c>
    </row>
    <row r="2198" spans="1:15" x14ac:dyDescent="0.3">
      <c r="A2198" t="s">
        <v>1793</v>
      </c>
      <c r="B2198" t="s">
        <v>2259</v>
      </c>
      <c r="C2198" t="s">
        <v>2261</v>
      </c>
      <c r="D2198">
        <v>21</v>
      </c>
      <c r="E2198" t="s">
        <v>1447</v>
      </c>
      <c r="F2198" t="s">
        <v>2289</v>
      </c>
      <c r="G2198" t="s">
        <v>1826</v>
      </c>
      <c r="H2198" t="s">
        <v>1799</v>
      </c>
      <c r="I2198" t="s">
        <v>1799</v>
      </c>
      <c r="J2198" t="s">
        <v>1799</v>
      </c>
      <c r="K2198" t="s">
        <v>1799</v>
      </c>
      <c r="L2198" t="s">
        <v>1447</v>
      </c>
      <c r="M2198" t="s">
        <v>1799</v>
      </c>
      <c r="N2198" t="s">
        <v>1799</v>
      </c>
      <c r="O2198" s="184" t="str">
        <f>"["&amp;$C2198&amp;"]["&amp;$D2198&amp;"]["&amp;$F2198&amp;"]"</f>
        <v>[S05_ContinuousEmissionsMeasurementDetail][21][FlueGasContainBiomass]</v>
      </c>
    </row>
    <row r="2199" spans="1:15" x14ac:dyDescent="0.3">
      <c r="A2199" t="s">
        <v>1793</v>
      </c>
      <c r="B2199" t="s">
        <v>2259</v>
      </c>
      <c r="C2199" t="s">
        <v>2261</v>
      </c>
      <c r="D2199">
        <v>22</v>
      </c>
      <c r="E2199" t="s">
        <v>1447</v>
      </c>
      <c r="F2199" t="s">
        <v>2289</v>
      </c>
      <c r="G2199" t="s">
        <v>1826</v>
      </c>
      <c r="H2199" t="s">
        <v>1799</v>
      </c>
      <c r="I2199" t="s">
        <v>1799</v>
      </c>
      <c r="J2199" t="s">
        <v>1799</v>
      </c>
      <c r="K2199" t="s">
        <v>1799</v>
      </c>
      <c r="L2199" t="s">
        <v>1447</v>
      </c>
      <c r="M2199" t="s">
        <v>1799</v>
      </c>
      <c r="N2199" t="s">
        <v>1799</v>
      </c>
      <c r="O2199" s="184" t="str">
        <f>"["&amp;$C2199&amp;"]["&amp;$D2199&amp;"]["&amp;$F2199&amp;"]"</f>
        <v>[S05_ContinuousEmissionsMeasurementDetail][22][FlueGasContainBiomass]</v>
      </c>
    </row>
    <row r="2200" spans="1:15" x14ac:dyDescent="0.3">
      <c r="A2200" t="s">
        <v>1793</v>
      </c>
      <c r="B2200" t="s">
        <v>2259</v>
      </c>
      <c r="C2200" t="s">
        <v>2261</v>
      </c>
      <c r="D2200">
        <v>23</v>
      </c>
      <c r="E2200" t="s">
        <v>1447</v>
      </c>
      <c r="F2200" t="s">
        <v>2289</v>
      </c>
      <c r="G2200" t="s">
        <v>1826</v>
      </c>
      <c r="H2200" t="s">
        <v>1799</v>
      </c>
      <c r="I2200" t="s">
        <v>1799</v>
      </c>
      <c r="J2200" t="s">
        <v>1799</v>
      </c>
      <c r="K2200" t="s">
        <v>1799</v>
      </c>
      <c r="L2200" t="s">
        <v>1447</v>
      </c>
      <c r="M2200" t="s">
        <v>1799</v>
      </c>
      <c r="N2200" t="s">
        <v>1799</v>
      </c>
      <c r="O2200" s="184" t="str">
        <f>"["&amp;$C2200&amp;"]["&amp;$D2200&amp;"]["&amp;$F2200&amp;"]"</f>
        <v>[S05_ContinuousEmissionsMeasurementDetail][23][FlueGasContainBiomass]</v>
      </c>
    </row>
    <row r="2201" spans="1:15" x14ac:dyDescent="0.3">
      <c r="A2201" t="s">
        <v>1793</v>
      </c>
      <c r="B2201" t="s">
        <v>2259</v>
      </c>
      <c r="C2201" t="s">
        <v>2261</v>
      </c>
      <c r="D2201">
        <v>24</v>
      </c>
      <c r="E2201" t="s">
        <v>1447</v>
      </c>
      <c r="F2201" t="s">
        <v>2289</v>
      </c>
      <c r="G2201" t="s">
        <v>1826</v>
      </c>
      <c r="H2201" t="s">
        <v>1799</v>
      </c>
      <c r="I2201" t="s">
        <v>1799</v>
      </c>
      <c r="J2201" t="s">
        <v>1799</v>
      </c>
      <c r="K2201" t="s">
        <v>1799</v>
      </c>
      <c r="L2201" t="s">
        <v>1447</v>
      </c>
      <c r="M2201" t="s">
        <v>1799</v>
      </c>
      <c r="N2201" t="s">
        <v>1799</v>
      </c>
      <c r="O2201" s="184" t="str">
        <f>"["&amp;$C2201&amp;"]["&amp;$D2201&amp;"]["&amp;$F2201&amp;"]"</f>
        <v>[S05_ContinuousEmissionsMeasurementDetail][24][FlueGasContainBiomass]</v>
      </c>
    </row>
    <row r="2202" spans="1:15" x14ac:dyDescent="0.3">
      <c r="A2202" t="s">
        <v>1793</v>
      </c>
      <c r="B2202" t="s">
        <v>2259</v>
      </c>
      <c r="C2202" t="s">
        <v>2261</v>
      </c>
      <c r="D2202">
        <v>25</v>
      </c>
      <c r="E2202" t="s">
        <v>1447</v>
      </c>
      <c r="F2202" t="s">
        <v>2289</v>
      </c>
      <c r="G2202" t="s">
        <v>1826</v>
      </c>
      <c r="H2202" t="s">
        <v>1799</v>
      </c>
      <c r="I2202" t="s">
        <v>1799</v>
      </c>
      <c r="J2202" t="s">
        <v>1799</v>
      </c>
      <c r="K2202" t="s">
        <v>1799</v>
      </c>
      <c r="L2202" t="s">
        <v>1447</v>
      </c>
      <c r="M2202" t="s">
        <v>1799</v>
      </c>
      <c r="N2202" t="s">
        <v>1799</v>
      </c>
      <c r="O2202" s="184" t="str">
        <f>"["&amp;$C2202&amp;"]["&amp;$D2202&amp;"]["&amp;$F2202&amp;"]"</f>
        <v>[S05_ContinuousEmissionsMeasurementDetail][25][FlueGasContainBiomass]</v>
      </c>
    </row>
    <row r="2203" spans="1:15" x14ac:dyDescent="0.3">
      <c r="A2203" t="s">
        <v>1793</v>
      </c>
      <c r="B2203" t="s">
        <v>2259</v>
      </c>
      <c r="C2203" t="s">
        <v>2261</v>
      </c>
      <c r="D2203">
        <v>26</v>
      </c>
      <c r="E2203" t="s">
        <v>1447</v>
      </c>
      <c r="F2203" t="s">
        <v>2289</v>
      </c>
      <c r="G2203" t="s">
        <v>1826</v>
      </c>
      <c r="H2203" t="s">
        <v>1799</v>
      </c>
      <c r="I2203" t="s">
        <v>1799</v>
      </c>
      <c r="J2203" t="s">
        <v>1799</v>
      </c>
      <c r="K2203" t="s">
        <v>1799</v>
      </c>
      <c r="L2203" t="s">
        <v>1447</v>
      </c>
      <c r="M2203" t="s">
        <v>1799</v>
      </c>
      <c r="N2203" t="s">
        <v>1799</v>
      </c>
      <c r="O2203" s="184" t="str">
        <f>"["&amp;$C2203&amp;"]["&amp;$D2203&amp;"]["&amp;$F2203&amp;"]"</f>
        <v>[S05_ContinuousEmissionsMeasurementDetail][26][FlueGasContainBiomass]</v>
      </c>
    </row>
    <row r="2204" spans="1:15" x14ac:dyDescent="0.3">
      <c r="A2204" t="s">
        <v>1793</v>
      </c>
      <c r="B2204" t="s">
        <v>2259</v>
      </c>
      <c r="C2204" t="s">
        <v>2261</v>
      </c>
      <c r="D2204">
        <v>27</v>
      </c>
      <c r="E2204" t="s">
        <v>1447</v>
      </c>
      <c r="F2204" t="s">
        <v>2289</v>
      </c>
      <c r="G2204" t="s">
        <v>1826</v>
      </c>
      <c r="H2204" t="s">
        <v>1799</v>
      </c>
      <c r="I2204" t="s">
        <v>1799</v>
      </c>
      <c r="J2204" t="s">
        <v>1799</v>
      </c>
      <c r="K2204" t="s">
        <v>1799</v>
      </c>
      <c r="L2204" t="s">
        <v>1419</v>
      </c>
      <c r="M2204" t="s">
        <v>1799</v>
      </c>
      <c r="N2204" t="s">
        <v>1799</v>
      </c>
      <c r="O2204" s="184" t="str">
        <f>"["&amp;$C2204&amp;"]["&amp;$D2204&amp;"]["&amp;$F2204&amp;"]"</f>
        <v>[S05_ContinuousEmissionsMeasurementDetail][27][FlueGasContainBiomass]</v>
      </c>
    </row>
    <row r="2205" spans="1:15" x14ac:dyDescent="0.3">
      <c r="A2205" t="s">
        <v>1793</v>
      </c>
      <c r="B2205" t="s">
        <v>2259</v>
      </c>
      <c r="C2205" t="s">
        <v>2261</v>
      </c>
      <c r="D2205">
        <v>28</v>
      </c>
      <c r="E2205" t="s">
        <v>1447</v>
      </c>
      <c r="F2205" t="s">
        <v>2289</v>
      </c>
      <c r="G2205" t="s">
        <v>1826</v>
      </c>
      <c r="H2205" t="s">
        <v>1799</v>
      </c>
      <c r="I2205" t="s">
        <v>1799</v>
      </c>
      <c r="J2205" t="s">
        <v>1799</v>
      </c>
      <c r="K2205" t="s">
        <v>1799</v>
      </c>
      <c r="L2205" t="s">
        <v>1447</v>
      </c>
      <c r="M2205" t="s">
        <v>1799</v>
      </c>
      <c r="N2205" t="s">
        <v>1799</v>
      </c>
      <c r="O2205" s="184" t="str">
        <f>"["&amp;$C2205&amp;"]["&amp;$D2205&amp;"]["&amp;$F2205&amp;"]"</f>
        <v>[S05_ContinuousEmissionsMeasurementDetail][28][FlueGasContainBiomass]</v>
      </c>
    </row>
    <row r="2206" spans="1:15" x14ac:dyDescent="0.3">
      <c r="A2206" t="s">
        <v>1793</v>
      </c>
      <c r="B2206" t="s">
        <v>2259</v>
      </c>
      <c r="C2206" t="s">
        <v>2261</v>
      </c>
      <c r="D2206">
        <v>29</v>
      </c>
      <c r="E2206" t="s">
        <v>1447</v>
      </c>
      <c r="F2206" t="s">
        <v>2289</v>
      </c>
      <c r="G2206" t="s">
        <v>1826</v>
      </c>
      <c r="H2206" t="s">
        <v>1799</v>
      </c>
      <c r="I2206" t="s">
        <v>1799</v>
      </c>
      <c r="J2206" t="s">
        <v>1799</v>
      </c>
      <c r="K2206" t="s">
        <v>1799</v>
      </c>
      <c r="L2206" t="s">
        <v>1447</v>
      </c>
      <c r="M2206" t="s">
        <v>1799</v>
      </c>
      <c r="N2206" t="s">
        <v>1799</v>
      </c>
      <c r="O2206" s="184" t="str">
        <f>"["&amp;$C2206&amp;"]["&amp;$D2206&amp;"]["&amp;$F2206&amp;"]"</f>
        <v>[S05_ContinuousEmissionsMeasurementDetail][29][FlueGasContainBiomass]</v>
      </c>
    </row>
    <row r="2207" spans="1:15" x14ac:dyDescent="0.3">
      <c r="A2207" t="s">
        <v>1793</v>
      </c>
      <c r="B2207" t="s">
        <v>2259</v>
      </c>
      <c r="C2207" t="s">
        <v>2261</v>
      </c>
      <c r="D2207">
        <v>30</v>
      </c>
      <c r="E2207" t="s">
        <v>1447</v>
      </c>
      <c r="F2207" t="s">
        <v>2289</v>
      </c>
      <c r="G2207" t="s">
        <v>1826</v>
      </c>
      <c r="H2207" t="s">
        <v>1799</v>
      </c>
      <c r="I2207" t="s">
        <v>1799</v>
      </c>
      <c r="J2207" t="s">
        <v>1799</v>
      </c>
      <c r="K2207" t="s">
        <v>1799</v>
      </c>
      <c r="L2207" t="s">
        <v>1447</v>
      </c>
      <c r="M2207" t="s">
        <v>1799</v>
      </c>
      <c r="N2207" t="s">
        <v>1799</v>
      </c>
      <c r="O2207" s="184" t="str">
        <f>"["&amp;$C2207&amp;"]["&amp;$D2207&amp;"]["&amp;$F2207&amp;"]"</f>
        <v>[S05_ContinuousEmissionsMeasurementDetail][30][FlueGasContainBiomass]</v>
      </c>
    </row>
    <row r="2208" spans="1:15" x14ac:dyDescent="0.3">
      <c r="A2208" t="s">
        <v>1793</v>
      </c>
      <c r="B2208" t="s">
        <v>2259</v>
      </c>
      <c r="C2208" t="s">
        <v>2261</v>
      </c>
      <c r="D2208">
        <v>31</v>
      </c>
      <c r="E2208" t="s">
        <v>1447</v>
      </c>
      <c r="F2208" t="s">
        <v>2289</v>
      </c>
      <c r="G2208" t="s">
        <v>1826</v>
      </c>
      <c r="H2208" t="s">
        <v>1799</v>
      </c>
      <c r="I2208" t="s">
        <v>1799</v>
      </c>
      <c r="J2208" t="s">
        <v>1799</v>
      </c>
      <c r="K2208" t="s">
        <v>1799</v>
      </c>
      <c r="L2208" t="s">
        <v>1447</v>
      </c>
      <c r="M2208" t="s">
        <v>1799</v>
      </c>
      <c r="N2208" t="s">
        <v>1799</v>
      </c>
      <c r="O2208" s="184" t="str">
        <f>"["&amp;$C2208&amp;"]["&amp;$D2208&amp;"]["&amp;$F2208&amp;"]"</f>
        <v>[S05_ContinuousEmissionsMeasurementDetail][31][FlueGasContainBiomass]</v>
      </c>
    </row>
    <row r="2209" spans="1:15" x14ac:dyDescent="0.3">
      <c r="A2209" t="s">
        <v>1793</v>
      </c>
      <c r="B2209" t="s">
        <v>2259</v>
      </c>
      <c r="C2209" t="s">
        <v>2261</v>
      </c>
      <c r="D2209">
        <v>32</v>
      </c>
      <c r="E2209" t="s">
        <v>1447</v>
      </c>
      <c r="F2209" t="s">
        <v>2289</v>
      </c>
      <c r="G2209" t="s">
        <v>1826</v>
      </c>
      <c r="H2209" t="s">
        <v>1799</v>
      </c>
      <c r="I2209" t="s">
        <v>1799</v>
      </c>
      <c r="J2209" t="s">
        <v>1799</v>
      </c>
      <c r="K2209" t="s">
        <v>1799</v>
      </c>
      <c r="L2209" t="s">
        <v>1447</v>
      </c>
      <c r="M2209" t="s">
        <v>1799</v>
      </c>
      <c r="N2209" t="s">
        <v>1799</v>
      </c>
      <c r="O2209" s="184" t="str">
        <f>"["&amp;$C2209&amp;"]["&amp;$D2209&amp;"]["&amp;$F2209&amp;"]"</f>
        <v>[S05_ContinuousEmissionsMeasurementDetail][32][FlueGasContainBiomass]</v>
      </c>
    </row>
    <row r="2210" spans="1:15" x14ac:dyDescent="0.3">
      <c r="A2210" t="s">
        <v>1793</v>
      </c>
      <c r="B2210" t="s">
        <v>2259</v>
      </c>
      <c r="C2210" t="s">
        <v>2261</v>
      </c>
      <c r="D2210">
        <v>33</v>
      </c>
      <c r="E2210" t="s">
        <v>1447</v>
      </c>
      <c r="F2210" t="s">
        <v>2289</v>
      </c>
      <c r="G2210" t="s">
        <v>1826</v>
      </c>
      <c r="H2210" t="s">
        <v>1799</v>
      </c>
      <c r="I2210" t="s">
        <v>1799</v>
      </c>
      <c r="J2210" t="s">
        <v>1799</v>
      </c>
      <c r="K2210" t="s">
        <v>1799</v>
      </c>
      <c r="L2210" t="s">
        <v>1447</v>
      </c>
      <c r="M2210" t="s">
        <v>1799</v>
      </c>
      <c r="N2210" t="s">
        <v>1799</v>
      </c>
      <c r="O2210" s="184" t="str">
        <f>"["&amp;$C2210&amp;"]["&amp;$D2210&amp;"]["&amp;$F2210&amp;"]"</f>
        <v>[S05_ContinuousEmissionsMeasurementDetail][33][FlueGasContainBiomass]</v>
      </c>
    </row>
    <row r="2211" spans="1:15" x14ac:dyDescent="0.3">
      <c r="A2211" t="s">
        <v>1793</v>
      </c>
      <c r="B2211" t="s">
        <v>2259</v>
      </c>
      <c r="C2211" t="s">
        <v>2261</v>
      </c>
      <c r="D2211">
        <v>34</v>
      </c>
      <c r="E2211" t="s">
        <v>1447</v>
      </c>
      <c r="F2211" t="s">
        <v>2289</v>
      </c>
      <c r="G2211" t="s">
        <v>1826</v>
      </c>
      <c r="H2211" t="s">
        <v>1799</v>
      </c>
      <c r="I2211" t="s">
        <v>1799</v>
      </c>
      <c r="J2211" t="s">
        <v>1799</v>
      </c>
      <c r="K2211" t="s">
        <v>1799</v>
      </c>
      <c r="L2211" t="s">
        <v>1447</v>
      </c>
      <c r="M2211" t="s">
        <v>1799</v>
      </c>
      <c r="N2211" t="s">
        <v>1799</v>
      </c>
      <c r="O2211" s="184" t="str">
        <f>"["&amp;$C2211&amp;"]["&amp;$D2211&amp;"]["&amp;$F2211&amp;"]"</f>
        <v>[S05_ContinuousEmissionsMeasurementDetail][34][FlueGasContainBiomass]</v>
      </c>
    </row>
    <row r="2212" spans="1:15" x14ac:dyDescent="0.3">
      <c r="A2212" t="s">
        <v>1793</v>
      </c>
      <c r="B2212" t="s">
        <v>2259</v>
      </c>
      <c r="C2212" t="s">
        <v>2261</v>
      </c>
      <c r="D2212">
        <v>35</v>
      </c>
      <c r="E2212" t="s">
        <v>1447</v>
      </c>
      <c r="F2212" t="s">
        <v>2289</v>
      </c>
      <c r="G2212" t="s">
        <v>1826</v>
      </c>
      <c r="H2212" t="s">
        <v>1799</v>
      </c>
      <c r="I2212" t="s">
        <v>1799</v>
      </c>
      <c r="J2212" t="s">
        <v>1799</v>
      </c>
      <c r="K2212" t="s">
        <v>1799</v>
      </c>
      <c r="L2212" t="s">
        <v>1447</v>
      </c>
      <c r="M2212" t="s">
        <v>1799</v>
      </c>
      <c r="N2212" t="s">
        <v>1799</v>
      </c>
      <c r="O2212" s="184" t="str">
        <f>"["&amp;$C2212&amp;"]["&amp;$D2212&amp;"]["&amp;$F2212&amp;"]"</f>
        <v>[S05_ContinuousEmissionsMeasurementDetail][35][FlueGasContainBiomass]</v>
      </c>
    </row>
    <row r="2213" spans="1:15" x14ac:dyDescent="0.3">
      <c r="A2213" t="s">
        <v>1793</v>
      </c>
      <c r="B2213" t="s">
        <v>2259</v>
      </c>
      <c r="C2213" t="s">
        <v>2261</v>
      </c>
      <c r="D2213">
        <v>36</v>
      </c>
      <c r="E2213" t="s">
        <v>1447</v>
      </c>
      <c r="F2213" t="s">
        <v>2289</v>
      </c>
      <c r="G2213" t="s">
        <v>1826</v>
      </c>
      <c r="H2213" t="s">
        <v>1799</v>
      </c>
      <c r="I2213" t="s">
        <v>1799</v>
      </c>
      <c r="J2213" t="s">
        <v>1799</v>
      </c>
      <c r="K2213" t="s">
        <v>1799</v>
      </c>
      <c r="L2213" t="s">
        <v>1447</v>
      </c>
      <c r="M2213" t="s">
        <v>1799</v>
      </c>
      <c r="N2213" t="s">
        <v>1799</v>
      </c>
      <c r="O2213" s="184" t="str">
        <f>"["&amp;$C2213&amp;"]["&amp;$D2213&amp;"]["&amp;$F2213&amp;"]"</f>
        <v>[S05_ContinuousEmissionsMeasurementDetail][36][FlueGasContainBiomass]</v>
      </c>
    </row>
    <row r="2214" spans="1:15" x14ac:dyDescent="0.3">
      <c r="A2214" t="s">
        <v>1793</v>
      </c>
      <c r="B2214" t="s">
        <v>2259</v>
      </c>
      <c r="C2214" t="s">
        <v>2261</v>
      </c>
      <c r="D2214">
        <v>37</v>
      </c>
      <c r="E2214" t="s">
        <v>1447</v>
      </c>
      <c r="F2214" t="s">
        <v>2289</v>
      </c>
      <c r="G2214" t="s">
        <v>1826</v>
      </c>
      <c r="H2214" t="s">
        <v>1799</v>
      </c>
      <c r="I2214" t="s">
        <v>1799</v>
      </c>
      <c r="J2214" t="s">
        <v>1799</v>
      </c>
      <c r="K2214" t="s">
        <v>1799</v>
      </c>
      <c r="L2214" t="s">
        <v>1447</v>
      </c>
      <c r="M2214" t="s">
        <v>1799</v>
      </c>
      <c r="N2214" t="s">
        <v>1799</v>
      </c>
      <c r="O2214" s="184" t="str">
        <f>"["&amp;$C2214&amp;"]["&amp;$D2214&amp;"]["&amp;$F2214&amp;"]"</f>
        <v>[S05_ContinuousEmissionsMeasurementDetail][37][FlueGasContainBiomass]</v>
      </c>
    </row>
    <row r="2215" spans="1:15" x14ac:dyDescent="0.3">
      <c r="A2215" t="s">
        <v>1793</v>
      </c>
      <c r="B2215" t="s">
        <v>2259</v>
      </c>
      <c r="C2215" t="s">
        <v>2261</v>
      </c>
      <c r="D2215">
        <v>38</v>
      </c>
      <c r="E2215" t="s">
        <v>1447</v>
      </c>
      <c r="F2215" t="s">
        <v>2289</v>
      </c>
      <c r="G2215" t="s">
        <v>1826</v>
      </c>
      <c r="H2215" t="s">
        <v>1799</v>
      </c>
      <c r="I2215" t="s">
        <v>1799</v>
      </c>
      <c r="J2215" t="s">
        <v>1799</v>
      </c>
      <c r="K2215" t="s">
        <v>1799</v>
      </c>
      <c r="L2215" t="s">
        <v>1447</v>
      </c>
      <c r="M2215" t="s">
        <v>1799</v>
      </c>
      <c r="N2215" t="s">
        <v>1799</v>
      </c>
      <c r="O2215" s="184" t="str">
        <f>"["&amp;$C2215&amp;"]["&amp;$D2215&amp;"]["&amp;$F2215&amp;"]"</f>
        <v>[S05_ContinuousEmissionsMeasurementDetail][38][FlueGasContainBiomass]</v>
      </c>
    </row>
    <row r="2216" spans="1:15" x14ac:dyDescent="0.3">
      <c r="A2216" t="s">
        <v>1793</v>
      </c>
      <c r="B2216" t="s">
        <v>2290</v>
      </c>
      <c r="C2216" t="s">
        <v>2291</v>
      </c>
      <c r="D2216">
        <v>0</v>
      </c>
      <c r="E2216" t="s">
        <v>1447</v>
      </c>
      <c r="F2216" t="s">
        <v>2291</v>
      </c>
      <c r="G2216" t="s">
        <v>1797</v>
      </c>
      <c r="H2216" t="s">
        <v>2292</v>
      </c>
      <c r="I2216" t="s">
        <v>1799</v>
      </c>
      <c r="J2216" t="s">
        <v>1799</v>
      </c>
      <c r="K2216" t="s">
        <v>1799</v>
      </c>
      <c r="L2216" t="s">
        <v>1799</v>
      </c>
      <c r="M2216" t="s">
        <v>1799</v>
      </c>
      <c r="N2216" t="s">
        <v>1799</v>
      </c>
      <c r="O2216" s="184" t="str">
        <f>"["&amp;$C2216&amp;"]["&amp;$D2216&amp;"]["&amp;$F2216&amp;"]"</f>
        <v>[SustainabilityComplianceDemonstrate][0][SustainabilityComplianceDemonstrate]</v>
      </c>
    </row>
    <row r="2217" spans="1:15" x14ac:dyDescent="0.3">
      <c r="A2217" t="s">
        <v>1793</v>
      </c>
      <c r="B2217" t="s">
        <v>2290</v>
      </c>
      <c r="C2217" t="s">
        <v>2293</v>
      </c>
      <c r="D2217">
        <v>1</v>
      </c>
      <c r="E2217" t="s">
        <v>1447</v>
      </c>
      <c r="F2217" t="s">
        <v>2163</v>
      </c>
      <c r="G2217" t="s">
        <v>1737</v>
      </c>
      <c r="H2217" t="s">
        <v>1799</v>
      </c>
      <c r="I2217" t="s">
        <v>1799</v>
      </c>
      <c r="J2217" t="s">
        <v>1799</v>
      </c>
      <c r="K2217" t="s">
        <v>1799</v>
      </c>
      <c r="L2217" t="s">
        <v>1626</v>
      </c>
      <c r="M2217" t="s">
        <v>1799</v>
      </c>
      <c r="N2217" t="s">
        <v>1799</v>
      </c>
      <c r="O2217" s="184" t="str">
        <f>"["&amp;$C2217&amp;"]["&amp;$D2217&amp;"]["&amp;$F2217&amp;"]"</f>
        <v>[S05_BiomassInstallations][1][Annex1Activity]</v>
      </c>
    </row>
    <row r="2218" spans="1:15" x14ac:dyDescent="0.3">
      <c r="A2218" t="s">
        <v>1793</v>
      </c>
      <c r="B2218" t="s">
        <v>2290</v>
      </c>
      <c r="C2218" t="s">
        <v>2293</v>
      </c>
      <c r="D2218">
        <v>2</v>
      </c>
      <c r="E2218" t="s">
        <v>1447</v>
      </c>
      <c r="F2218" t="s">
        <v>2163</v>
      </c>
      <c r="G2218" t="s">
        <v>1737</v>
      </c>
      <c r="H2218" t="s">
        <v>1799</v>
      </c>
      <c r="I2218" t="s">
        <v>1799</v>
      </c>
      <c r="J2218" t="s">
        <v>1799</v>
      </c>
      <c r="K2218" t="s">
        <v>1799</v>
      </c>
      <c r="L2218" t="s">
        <v>1518</v>
      </c>
      <c r="M2218" t="s">
        <v>1799</v>
      </c>
      <c r="N2218" t="s">
        <v>1799</v>
      </c>
      <c r="O2218" s="184" t="str">
        <f>"["&amp;$C2218&amp;"]["&amp;$D2218&amp;"]["&amp;$F2218&amp;"]"</f>
        <v>[S05_BiomassInstallations][2][Annex1Activity]</v>
      </c>
    </row>
    <row r="2219" spans="1:15" x14ac:dyDescent="0.3">
      <c r="A2219" t="s">
        <v>1793</v>
      </c>
      <c r="B2219" t="s">
        <v>2290</v>
      </c>
      <c r="C2219" t="s">
        <v>2293</v>
      </c>
      <c r="D2219">
        <v>3</v>
      </c>
      <c r="E2219" t="s">
        <v>1447</v>
      </c>
      <c r="F2219" t="s">
        <v>2163</v>
      </c>
      <c r="G2219" t="s">
        <v>1737</v>
      </c>
      <c r="H2219" t="s">
        <v>1799</v>
      </c>
      <c r="I2219" t="s">
        <v>1799</v>
      </c>
      <c r="J2219" t="s">
        <v>1799</v>
      </c>
      <c r="K2219" t="s">
        <v>1799</v>
      </c>
      <c r="L2219" t="s">
        <v>1518</v>
      </c>
      <c r="M2219" t="s">
        <v>1799</v>
      </c>
      <c r="N2219" t="s">
        <v>1799</v>
      </c>
      <c r="O2219" s="184" t="str">
        <f>"["&amp;$C2219&amp;"]["&amp;$D2219&amp;"]["&amp;$F2219&amp;"]"</f>
        <v>[S05_BiomassInstallations][3][Annex1Activity]</v>
      </c>
    </row>
    <row r="2220" spans="1:15" x14ac:dyDescent="0.3">
      <c r="A2220" t="s">
        <v>1793</v>
      </c>
      <c r="B2220" t="s">
        <v>2290</v>
      </c>
      <c r="C2220" t="s">
        <v>2293</v>
      </c>
      <c r="D2220">
        <v>4</v>
      </c>
      <c r="E2220" t="s">
        <v>1447</v>
      </c>
      <c r="F2220" t="s">
        <v>2163</v>
      </c>
      <c r="G2220" t="s">
        <v>1737</v>
      </c>
      <c r="H2220" t="s">
        <v>1799</v>
      </c>
      <c r="I2220" t="s">
        <v>1799</v>
      </c>
      <c r="J2220" t="s">
        <v>1799</v>
      </c>
      <c r="K2220" t="s">
        <v>1799</v>
      </c>
      <c r="L2220" t="s">
        <v>1518</v>
      </c>
      <c r="M2220" t="s">
        <v>1799</v>
      </c>
      <c r="N2220" t="s">
        <v>1799</v>
      </c>
      <c r="O2220" s="184" t="str">
        <f>"["&amp;$C2220&amp;"]["&amp;$D2220&amp;"]["&amp;$F2220&amp;"]"</f>
        <v>[S05_BiomassInstallations][4][Annex1Activity]</v>
      </c>
    </row>
    <row r="2221" spans="1:15" x14ac:dyDescent="0.3">
      <c r="A2221" t="s">
        <v>1793</v>
      </c>
      <c r="B2221" t="s">
        <v>2290</v>
      </c>
      <c r="C2221" t="s">
        <v>2293</v>
      </c>
      <c r="D2221">
        <v>5</v>
      </c>
      <c r="E2221" t="s">
        <v>1447</v>
      </c>
      <c r="F2221" t="s">
        <v>2163</v>
      </c>
      <c r="G2221" t="s">
        <v>1737</v>
      </c>
      <c r="H2221" t="s">
        <v>1799</v>
      </c>
      <c r="I2221" t="s">
        <v>1799</v>
      </c>
      <c r="J2221" t="s">
        <v>1799</v>
      </c>
      <c r="K2221" t="s">
        <v>1799</v>
      </c>
      <c r="L2221" t="s">
        <v>1530</v>
      </c>
      <c r="M2221" t="s">
        <v>1799</v>
      </c>
      <c r="N2221" t="s">
        <v>1799</v>
      </c>
      <c r="O2221" s="184" t="str">
        <f>"["&amp;$C2221&amp;"]["&amp;$D2221&amp;"]["&amp;$F2221&amp;"]"</f>
        <v>[S05_BiomassInstallations][5][Annex1Activity]</v>
      </c>
    </row>
    <row r="2222" spans="1:15" x14ac:dyDescent="0.3">
      <c r="A2222" t="s">
        <v>1793</v>
      </c>
      <c r="B2222" t="s">
        <v>2290</v>
      </c>
      <c r="C2222" t="s">
        <v>2293</v>
      </c>
      <c r="D2222">
        <v>6</v>
      </c>
      <c r="E2222" t="s">
        <v>1447</v>
      </c>
      <c r="F2222" t="s">
        <v>2163</v>
      </c>
      <c r="G2222" t="s">
        <v>1737</v>
      </c>
      <c r="H2222" t="s">
        <v>1799</v>
      </c>
      <c r="I2222" t="s">
        <v>1799</v>
      </c>
      <c r="J2222" t="s">
        <v>1799</v>
      </c>
      <c r="K2222" t="s">
        <v>1799</v>
      </c>
      <c r="L2222" t="s">
        <v>1530</v>
      </c>
      <c r="M2222" t="s">
        <v>1799</v>
      </c>
      <c r="N2222" t="s">
        <v>1799</v>
      </c>
      <c r="O2222" s="184" t="str">
        <f>"["&amp;$C2222&amp;"]["&amp;$D2222&amp;"]["&amp;$F2222&amp;"]"</f>
        <v>[S05_BiomassInstallations][6][Annex1Activity]</v>
      </c>
    </row>
    <row r="2223" spans="1:15" x14ac:dyDescent="0.3">
      <c r="A2223" t="s">
        <v>1793</v>
      </c>
      <c r="B2223" t="s">
        <v>2290</v>
      </c>
      <c r="C2223" t="s">
        <v>2293</v>
      </c>
      <c r="D2223">
        <v>7</v>
      </c>
      <c r="E2223" t="s">
        <v>1447</v>
      </c>
      <c r="F2223" t="s">
        <v>2163</v>
      </c>
      <c r="G2223" t="s">
        <v>1737</v>
      </c>
      <c r="H2223" t="s">
        <v>1799</v>
      </c>
      <c r="I2223" t="s">
        <v>1799</v>
      </c>
      <c r="J2223" t="s">
        <v>1799</v>
      </c>
      <c r="K2223" t="s">
        <v>1799</v>
      </c>
      <c r="L2223" t="s">
        <v>1562</v>
      </c>
      <c r="M2223" t="s">
        <v>1799</v>
      </c>
      <c r="N2223" t="s">
        <v>1799</v>
      </c>
      <c r="O2223" s="184" t="str">
        <f>"["&amp;$C2223&amp;"]["&amp;$D2223&amp;"]["&amp;$F2223&amp;"]"</f>
        <v>[S05_BiomassInstallations][7][Annex1Activity]</v>
      </c>
    </row>
    <row r="2224" spans="1:15" x14ac:dyDescent="0.3">
      <c r="A2224" t="s">
        <v>1793</v>
      </c>
      <c r="B2224" t="s">
        <v>2290</v>
      </c>
      <c r="C2224" t="s">
        <v>2293</v>
      </c>
      <c r="D2224">
        <v>8</v>
      </c>
      <c r="E2224" t="s">
        <v>1447</v>
      </c>
      <c r="F2224" t="s">
        <v>2163</v>
      </c>
      <c r="G2224" t="s">
        <v>1737</v>
      </c>
      <c r="H2224" t="s">
        <v>1799</v>
      </c>
      <c r="I2224" t="s">
        <v>1799</v>
      </c>
      <c r="J2224" t="s">
        <v>1799</v>
      </c>
      <c r="K2224" t="s">
        <v>1799</v>
      </c>
      <c r="L2224" t="s">
        <v>1562</v>
      </c>
      <c r="M2224" t="s">
        <v>1799</v>
      </c>
      <c r="N2224" t="s">
        <v>1799</v>
      </c>
      <c r="O2224" s="184" t="str">
        <f>"["&amp;$C2224&amp;"]["&amp;$D2224&amp;"]["&amp;$F2224&amp;"]"</f>
        <v>[S05_BiomassInstallations][8][Annex1Activity]</v>
      </c>
    </row>
    <row r="2225" spans="1:15" x14ac:dyDescent="0.3">
      <c r="A2225" t="s">
        <v>1793</v>
      </c>
      <c r="B2225" t="s">
        <v>2290</v>
      </c>
      <c r="C2225" t="s">
        <v>2293</v>
      </c>
      <c r="D2225">
        <v>9</v>
      </c>
      <c r="E2225" t="s">
        <v>1447</v>
      </c>
      <c r="F2225" t="s">
        <v>2163</v>
      </c>
      <c r="G2225" t="s">
        <v>1737</v>
      </c>
      <c r="H2225" t="s">
        <v>1799</v>
      </c>
      <c r="I2225" t="s">
        <v>1799</v>
      </c>
      <c r="J2225" t="s">
        <v>1799</v>
      </c>
      <c r="K2225" t="s">
        <v>1799</v>
      </c>
      <c r="L2225" t="s">
        <v>1568</v>
      </c>
      <c r="M2225" t="s">
        <v>1799</v>
      </c>
      <c r="N2225" t="s">
        <v>1799</v>
      </c>
      <c r="O2225" s="184" t="str">
        <f>"["&amp;$C2225&amp;"]["&amp;$D2225&amp;"]["&amp;$F2225&amp;"]"</f>
        <v>[S05_BiomassInstallations][9][Annex1Activity]</v>
      </c>
    </row>
    <row r="2226" spans="1:15" x14ac:dyDescent="0.3">
      <c r="A2226" t="s">
        <v>1793</v>
      </c>
      <c r="B2226" t="s">
        <v>2290</v>
      </c>
      <c r="C2226" t="s">
        <v>2293</v>
      </c>
      <c r="D2226">
        <v>10</v>
      </c>
      <c r="E2226" t="s">
        <v>1447</v>
      </c>
      <c r="F2226" t="s">
        <v>2163</v>
      </c>
      <c r="G2226" t="s">
        <v>1737</v>
      </c>
      <c r="H2226" t="s">
        <v>1799</v>
      </c>
      <c r="I2226" t="s">
        <v>1799</v>
      </c>
      <c r="J2226" t="s">
        <v>1799</v>
      </c>
      <c r="K2226" t="s">
        <v>1799</v>
      </c>
      <c r="L2226" t="s">
        <v>1568</v>
      </c>
      <c r="M2226" t="s">
        <v>1799</v>
      </c>
      <c r="N2226" t="s">
        <v>1799</v>
      </c>
      <c r="O2226" s="184" t="str">
        <f>"["&amp;$C2226&amp;"]["&amp;$D2226&amp;"]["&amp;$F2226&amp;"]"</f>
        <v>[S05_BiomassInstallations][10][Annex1Activity]</v>
      </c>
    </row>
    <row r="2227" spans="1:15" x14ac:dyDescent="0.3">
      <c r="A2227" t="s">
        <v>1793</v>
      </c>
      <c r="B2227" t="s">
        <v>2290</v>
      </c>
      <c r="C2227" t="s">
        <v>2293</v>
      </c>
      <c r="D2227">
        <v>11</v>
      </c>
      <c r="E2227" t="s">
        <v>1447</v>
      </c>
      <c r="F2227" t="s">
        <v>2163</v>
      </c>
      <c r="G2227" t="s">
        <v>1737</v>
      </c>
      <c r="H2227" t="s">
        <v>1799</v>
      </c>
      <c r="I2227" t="s">
        <v>1799</v>
      </c>
      <c r="J2227" t="s">
        <v>1799</v>
      </c>
      <c r="K2227" t="s">
        <v>1799</v>
      </c>
      <c r="L2227" t="s">
        <v>1573</v>
      </c>
      <c r="M2227" t="s">
        <v>1799</v>
      </c>
      <c r="N2227" t="s">
        <v>1799</v>
      </c>
      <c r="O2227" s="184" t="str">
        <f>"["&amp;$C2227&amp;"]["&amp;$D2227&amp;"]["&amp;$F2227&amp;"]"</f>
        <v>[S05_BiomassInstallations][11][Annex1Activity]</v>
      </c>
    </row>
    <row r="2228" spans="1:15" x14ac:dyDescent="0.3">
      <c r="A2228" t="s">
        <v>1793</v>
      </c>
      <c r="B2228" t="s">
        <v>2290</v>
      </c>
      <c r="C2228" t="s">
        <v>2293</v>
      </c>
      <c r="D2228">
        <v>12</v>
      </c>
      <c r="E2228" t="s">
        <v>1447</v>
      </c>
      <c r="F2228" t="s">
        <v>2163</v>
      </c>
      <c r="G2228" t="s">
        <v>1737</v>
      </c>
      <c r="H2228" t="s">
        <v>1799</v>
      </c>
      <c r="I2228" t="s">
        <v>1799</v>
      </c>
      <c r="J2228" t="s">
        <v>1799</v>
      </c>
      <c r="K2228" t="s">
        <v>1799</v>
      </c>
      <c r="L2228" t="s">
        <v>1573</v>
      </c>
      <c r="M2228" t="s">
        <v>1799</v>
      </c>
      <c r="N2228" t="s">
        <v>1799</v>
      </c>
      <c r="O2228" s="184" t="str">
        <f>"["&amp;$C2228&amp;"]["&amp;$D2228&amp;"]["&amp;$F2228&amp;"]"</f>
        <v>[S05_BiomassInstallations][12][Annex1Activity]</v>
      </c>
    </row>
    <row r="2229" spans="1:15" x14ac:dyDescent="0.3">
      <c r="A2229" t="s">
        <v>1793</v>
      </c>
      <c r="B2229" t="s">
        <v>2290</v>
      </c>
      <c r="C2229" t="s">
        <v>2293</v>
      </c>
      <c r="D2229">
        <v>13</v>
      </c>
      <c r="E2229" t="s">
        <v>1447</v>
      </c>
      <c r="F2229" t="s">
        <v>2163</v>
      </c>
      <c r="G2229" t="s">
        <v>1737</v>
      </c>
      <c r="H2229" t="s">
        <v>1799</v>
      </c>
      <c r="I2229" t="s">
        <v>1799</v>
      </c>
      <c r="J2229" t="s">
        <v>1799</v>
      </c>
      <c r="K2229" t="s">
        <v>1799</v>
      </c>
      <c r="L2229" t="s">
        <v>1577</v>
      </c>
      <c r="M2229" t="s">
        <v>1799</v>
      </c>
      <c r="N2229" t="s">
        <v>1799</v>
      </c>
      <c r="O2229" s="184" t="str">
        <f>"["&amp;$C2229&amp;"]["&amp;$D2229&amp;"]["&amp;$F2229&amp;"]"</f>
        <v>[S05_BiomassInstallations][13][Annex1Activity]</v>
      </c>
    </row>
    <row r="2230" spans="1:15" x14ac:dyDescent="0.3">
      <c r="A2230" t="s">
        <v>1793</v>
      </c>
      <c r="B2230" t="s">
        <v>2290</v>
      </c>
      <c r="C2230" t="s">
        <v>2293</v>
      </c>
      <c r="D2230">
        <v>14</v>
      </c>
      <c r="E2230" t="s">
        <v>1447</v>
      </c>
      <c r="F2230" t="s">
        <v>2163</v>
      </c>
      <c r="G2230" t="s">
        <v>1737</v>
      </c>
      <c r="H2230" t="s">
        <v>1799</v>
      </c>
      <c r="I2230" t="s">
        <v>1799</v>
      </c>
      <c r="J2230" t="s">
        <v>1799</v>
      </c>
      <c r="K2230" t="s">
        <v>1799</v>
      </c>
      <c r="L2230" t="s">
        <v>1577</v>
      </c>
      <c r="M2230" t="s">
        <v>1799</v>
      </c>
      <c r="N2230" t="s">
        <v>1799</v>
      </c>
      <c r="O2230" s="184" t="str">
        <f>"["&amp;$C2230&amp;"]["&amp;$D2230&amp;"]["&amp;$F2230&amp;"]"</f>
        <v>[S05_BiomassInstallations][14][Annex1Activity]</v>
      </c>
    </row>
    <row r="2231" spans="1:15" x14ac:dyDescent="0.3">
      <c r="A2231" t="s">
        <v>1793</v>
      </c>
      <c r="B2231" t="s">
        <v>2290</v>
      </c>
      <c r="C2231" t="s">
        <v>2293</v>
      </c>
      <c r="D2231">
        <v>15</v>
      </c>
      <c r="E2231" t="s">
        <v>1447</v>
      </c>
      <c r="F2231" t="s">
        <v>2163</v>
      </c>
      <c r="G2231" t="s">
        <v>1737</v>
      </c>
      <c r="H2231" t="s">
        <v>1799</v>
      </c>
      <c r="I2231" t="s">
        <v>1799</v>
      </c>
      <c r="J2231" t="s">
        <v>1799</v>
      </c>
      <c r="K2231" t="s">
        <v>1799</v>
      </c>
      <c r="L2231" t="s">
        <v>1592</v>
      </c>
      <c r="M2231" t="s">
        <v>1799</v>
      </c>
      <c r="N2231" t="s">
        <v>1799</v>
      </c>
      <c r="O2231" s="184" t="str">
        <f>"["&amp;$C2231&amp;"]["&amp;$D2231&amp;"]["&amp;$F2231&amp;"]"</f>
        <v>[S05_BiomassInstallations][15][Annex1Activity]</v>
      </c>
    </row>
    <row r="2232" spans="1:15" x14ac:dyDescent="0.3">
      <c r="A2232" t="s">
        <v>1793</v>
      </c>
      <c r="B2232" t="s">
        <v>2290</v>
      </c>
      <c r="C2232" t="s">
        <v>2293</v>
      </c>
      <c r="D2232">
        <v>16</v>
      </c>
      <c r="E2232" t="s">
        <v>1447</v>
      </c>
      <c r="F2232" t="s">
        <v>2163</v>
      </c>
      <c r="G2232" t="s">
        <v>1737</v>
      </c>
      <c r="H2232" t="s">
        <v>1799</v>
      </c>
      <c r="I2232" t="s">
        <v>1799</v>
      </c>
      <c r="J2232" t="s">
        <v>1799</v>
      </c>
      <c r="K2232" t="s">
        <v>1799</v>
      </c>
      <c r="L2232" t="s">
        <v>1592</v>
      </c>
      <c r="M2232" t="s">
        <v>1799</v>
      </c>
      <c r="N2232" t="s">
        <v>1799</v>
      </c>
      <c r="O2232" s="184" t="str">
        <f>"["&amp;$C2232&amp;"]["&amp;$D2232&amp;"]["&amp;$F2232&amp;"]"</f>
        <v>[S05_BiomassInstallations][16][Annex1Activity]</v>
      </c>
    </row>
    <row r="2233" spans="1:15" x14ac:dyDescent="0.3">
      <c r="A2233" t="s">
        <v>1793</v>
      </c>
      <c r="B2233" t="s">
        <v>2290</v>
      </c>
      <c r="C2233" t="s">
        <v>2293</v>
      </c>
      <c r="D2233">
        <v>17</v>
      </c>
      <c r="E2233" t="s">
        <v>1447</v>
      </c>
      <c r="F2233" t="s">
        <v>2163</v>
      </c>
      <c r="G2233" t="s">
        <v>1737</v>
      </c>
      <c r="H2233" t="s">
        <v>1799</v>
      </c>
      <c r="I2233" t="s">
        <v>1799</v>
      </c>
      <c r="J2233" t="s">
        <v>1799</v>
      </c>
      <c r="K2233" t="s">
        <v>1799</v>
      </c>
      <c r="L2233" t="s">
        <v>1597</v>
      </c>
      <c r="M2233" t="s">
        <v>1799</v>
      </c>
      <c r="N2233" t="s">
        <v>1799</v>
      </c>
      <c r="O2233" s="184" t="str">
        <f>"["&amp;$C2233&amp;"]["&amp;$D2233&amp;"]["&amp;$F2233&amp;"]"</f>
        <v>[S05_BiomassInstallations][17][Annex1Activity]</v>
      </c>
    </row>
    <row r="2234" spans="1:15" x14ac:dyDescent="0.3">
      <c r="A2234" t="s">
        <v>1793</v>
      </c>
      <c r="B2234" t="s">
        <v>2290</v>
      </c>
      <c r="C2234" t="s">
        <v>2293</v>
      </c>
      <c r="D2234">
        <v>18</v>
      </c>
      <c r="E2234" t="s">
        <v>1447</v>
      </c>
      <c r="F2234" t="s">
        <v>2163</v>
      </c>
      <c r="G2234" t="s">
        <v>1737</v>
      </c>
      <c r="H2234" t="s">
        <v>1799</v>
      </c>
      <c r="I2234" t="s">
        <v>1799</v>
      </c>
      <c r="J2234" t="s">
        <v>1799</v>
      </c>
      <c r="K2234" t="s">
        <v>1799</v>
      </c>
      <c r="L2234" t="s">
        <v>1597</v>
      </c>
      <c r="M2234" t="s">
        <v>1799</v>
      </c>
      <c r="N2234" t="s">
        <v>1799</v>
      </c>
      <c r="O2234" s="184" t="str">
        <f>"["&amp;$C2234&amp;"]["&amp;$D2234&amp;"]["&amp;$F2234&amp;"]"</f>
        <v>[S05_BiomassInstallations][18][Annex1Activity]</v>
      </c>
    </row>
    <row r="2235" spans="1:15" x14ac:dyDescent="0.3">
      <c r="A2235" t="s">
        <v>1793</v>
      </c>
      <c r="B2235" t="s">
        <v>2290</v>
      </c>
      <c r="C2235" t="s">
        <v>2293</v>
      </c>
      <c r="D2235">
        <v>19</v>
      </c>
      <c r="E2235" t="s">
        <v>1447</v>
      </c>
      <c r="F2235" t="s">
        <v>2163</v>
      </c>
      <c r="G2235" t="s">
        <v>1737</v>
      </c>
      <c r="H2235" t="s">
        <v>1799</v>
      </c>
      <c r="I2235" t="s">
        <v>1799</v>
      </c>
      <c r="J2235" t="s">
        <v>1799</v>
      </c>
      <c r="K2235" t="s">
        <v>1799</v>
      </c>
      <c r="L2235" t="s">
        <v>1420</v>
      </c>
      <c r="M2235" t="s">
        <v>1799</v>
      </c>
      <c r="N2235" t="s">
        <v>1799</v>
      </c>
      <c r="O2235" s="184" t="str">
        <f>"["&amp;$C2235&amp;"]["&amp;$D2235&amp;"]["&amp;$F2235&amp;"]"</f>
        <v>[S05_BiomassInstallations][19][Annex1Activity]</v>
      </c>
    </row>
    <row r="2236" spans="1:15" x14ac:dyDescent="0.3">
      <c r="A2236" t="s">
        <v>1793</v>
      </c>
      <c r="B2236" t="s">
        <v>2290</v>
      </c>
      <c r="C2236" t="s">
        <v>2293</v>
      </c>
      <c r="D2236">
        <v>20</v>
      </c>
      <c r="E2236" t="s">
        <v>1447</v>
      </c>
      <c r="F2236" t="s">
        <v>2163</v>
      </c>
      <c r="G2236" t="s">
        <v>1737</v>
      </c>
      <c r="H2236" t="s">
        <v>1799</v>
      </c>
      <c r="I2236" t="s">
        <v>1799</v>
      </c>
      <c r="J2236" t="s">
        <v>1799</v>
      </c>
      <c r="K2236" t="s">
        <v>1799</v>
      </c>
      <c r="L2236" t="s">
        <v>1420</v>
      </c>
      <c r="M2236" t="s">
        <v>1799</v>
      </c>
      <c r="N2236" t="s">
        <v>1799</v>
      </c>
      <c r="O2236" s="184" t="str">
        <f>"["&amp;$C2236&amp;"]["&amp;$D2236&amp;"]["&amp;$F2236&amp;"]"</f>
        <v>[S05_BiomassInstallations][20][Annex1Activity]</v>
      </c>
    </row>
    <row r="2237" spans="1:15" x14ac:dyDescent="0.3">
      <c r="A2237" t="s">
        <v>1793</v>
      </c>
      <c r="B2237" t="s">
        <v>2290</v>
      </c>
      <c r="C2237" t="s">
        <v>2293</v>
      </c>
      <c r="D2237">
        <v>21</v>
      </c>
      <c r="E2237" t="s">
        <v>1447</v>
      </c>
      <c r="F2237" t="s">
        <v>2163</v>
      </c>
      <c r="G2237" t="s">
        <v>1737</v>
      </c>
      <c r="H2237" t="s">
        <v>1799</v>
      </c>
      <c r="I2237" t="s">
        <v>1799</v>
      </c>
      <c r="J2237" t="s">
        <v>1799</v>
      </c>
      <c r="K2237" t="s">
        <v>1799</v>
      </c>
      <c r="L2237" t="s">
        <v>1420</v>
      </c>
      <c r="M2237" t="s">
        <v>1799</v>
      </c>
      <c r="N2237" t="s">
        <v>1799</v>
      </c>
      <c r="O2237" s="184" t="str">
        <f>"["&amp;$C2237&amp;"]["&amp;$D2237&amp;"]["&amp;$F2237&amp;"]"</f>
        <v>[S05_BiomassInstallations][21][Annex1Activity]</v>
      </c>
    </row>
    <row r="2238" spans="1:15" x14ac:dyDescent="0.3">
      <c r="A2238" t="s">
        <v>1793</v>
      </c>
      <c r="B2238" t="s">
        <v>2290</v>
      </c>
      <c r="C2238" t="s">
        <v>2293</v>
      </c>
      <c r="D2238">
        <v>22</v>
      </c>
      <c r="E2238" t="s">
        <v>1447</v>
      </c>
      <c r="F2238" t="s">
        <v>2163</v>
      </c>
      <c r="G2238" t="s">
        <v>1737</v>
      </c>
      <c r="H2238" t="s">
        <v>1799</v>
      </c>
      <c r="I2238" t="s">
        <v>1799</v>
      </c>
      <c r="J2238" t="s">
        <v>1799</v>
      </c>
      <c r="K2238" t="s">
        <v>1799</v>
      </c>
      <c r="L2238" t="s">
        <v>1582</v>
      </c>
      <c r="M2238" t="s">
        <v>1799</v>
      </c>
      <c r="N2238" t="s">
        <v>1799</v>
      </c>
      <c r="O2238" s="184" t="str">
        <f>"["&amp;$C2238&amp;"]["&amp;$D2238&amp;"]["&amp;$F2238&amp;"]"</f>
        <v>[S05_BiomassInstallations][22][Annex1Activity]</v>
      </c>
    </row>
    <row r="2239" spans="1:15" x14ac:dyDescent="0.3">
      <c r="A2239" t="s">
        <v>1793</v>
      </c>
      <c r="B2239" t="s">
        <v>2290</v>
      </c>
      <c r="C2239" t="s">
        <v>2293</v>
      </c>
      <c r="D2239">
        <v>23</v>
      </c>
      <c r="E2239" t="s">
        <v>1447</v>
      </c>
      <c r="F2239" t="s">
        <v>2163</v>
      </c>
      <c r="G2239" t="s">
        <v>1737</v>
      </c>
      <c r="H2239" t="s">
        <v>1799</v>
      </c>
      <c r="I2239" t="s">
        <v>1799</v>
      </c>
      <c r="J2239" t="s">
        <v>1799</v>
      </c>
      <c r="K2239" t="s">
        <v>1799</v>
      </c>
      <c r="L2239" t="s">
        <v>1478</v>
      </c>
      <c r="M2239" t="s">
        <v>1799</v>
      </c>
      <c r="N2239" t="s">
        <v>1799</v>
      </c>
      <c r="O2239" s="184" t="str">
        <f>"["&amp;$C2239&amp;"]["&amp;$D2239&amp;"]["&amp;$F2239&amp;"]"</f>
        <v>[S05_BiomassInstallations][23][Annex1Activity]</v>
      </c>
    </row>
    <row r="2240" spans="1:15" x14ac:dyDescent="0.3">
      <c r="A2240" t="s">
        <v>1793</v>
      </c>
      <c r="B2240" t="s">
        <v>2290</v>
      </c>
      <c r="C2240" t="s">
        <v>2293</v>
      </c>
      <c r="D2240">
        <v>24</v>
      </c>
      <c r="E2240" t="s">
        <v>1447</v>
      </c>
      <c r="F2240" t="s">
        <v>2163</v>
      </c>
      <c r="G2240" t="s">
        <v>1737</v>
      </c>
      <c r="H2240" t="s">
        <v>1799</v>
      </c>
      <c r="I2240" t="s">
        <v>1799</v>
      </c>
      <c r="J2240" t="s">
        <v>1799</v>
      </c>
      <c r="K2240" t="s">
        <v>1799</v>
      </c>
      <c r="L2240" t="s">
        <v>1549</v>
      </c>
      <c r="M2240" t="s">
        <v>1799</v>
      </c>
      <c r="N2240" t="s">
        <v>1799</v>
      </c>
      <c r="O2240" s="184" t="str">
        <f>"["&amp;$C2240&amp;"]["&amp;$D2240&amp;"]["&amp;$F2240&amp;"]"</f>
        <v>[S05_BiomassInstallations][24][Annex1Activity]</v>
      </c>
    </row>
    <row r="2241" spans="1:15" x14ac:dyDescent="0.3">
      <c r="A2241" t="s">
        <v>1793</v>
      </c>
      <c r="B2241" t="s">
        <v>2290</v>
      </c>
      <c r="C2241" t="s">
        <v>2293</v>
      </c>
      <c r="D2241">
        <v>25</v>
      </c>
      <c r="E2241" t="s">
        <v>1447</v>
      </c>
      <c r="F2241" t="s">
        <v>2163</v>
      </c>
      <c r="G2241" t="s">
        <v>1737</v>
      </c>
      <c r="H2241" t="s">
        <v>1799</v>
      </c>
      <c r="I2241" t="s">
        <v>1799</v>
      </c>
      <c r="J2241" t="s">
        <v>1799</v>
      </c>
      <c r="K2241" t="s">
        <v>1799</v>
      </c>
      <c r="L2241" t="s">
        <v>1557</v>
      </c>
      <c r="M2241" t="s">
        <v>1799</v>
      </c>
      <c r="N2241" t="s">
        <v>1799</v>
      </c>
      <c r="O2241" s="184" t="str">
        <f>"["&amp;$C2241&amp;"]["&amp;$D2241&amp;"]["&amp;$F2241&amp;"]"</f>
        <v>[S05_BiomassInstallations][25][Annex1Activity]</v>
      </c>
    </row>
    <row r="2242" spans="1:15" x14ac:dyDescent="0.3">
      <c r="A2242" t="s">
        <v>1793</v>
      </c>
      <c r="B2242" t="s">
        <v>2290</v>
      </c>
      <c r="C2242" t="s">
        <v>2293</v>
      </c>
      <c r="D2242">
        <v>26</v>
      </c>
      <c r="E2242" t="s">
        <v>1447</v>
      </c>
      <c r="F2242" t="s">
        <v>2163</v>
      </c>
      <c r="G2242" t="s">
        <v>1737</v>
      </c>
      <c r="H2242" t="s">
        <v>1799</v>
      </c>
      <c r="I2242" t="s">
        <v>1799</v>
      </c>
      <c r="J2242" t="s">
        <v>1799</v>
      </c>
      <c r="K2242" t="s">
        <v>1799</v>
      </c>
      <c r="L2242" t="s">
        <v>1557</v>
      </c>
      <c r="M2242" t="s">
        <v>1799</v>
      </c>
      <c r="N2242" t="s">
        <v>1799</v>
      </c>
      <c r="O2242" s="184" t="str">
        <f>"["&amp;$C2242&amp;"]["&amp;$D2242&amp;"]["&amp;$F2242&amp;"]"</f>
        <v>[S05_BiomassInstallations][26][Annex1Activity]</v>
      </c>
    </row>
    <row r="2243" spans="1:15" x14ac:dyDescent="0.3">
      <c r="A2243" t="s">
        <v>1793</v>
      </c>
      <c r="B2243" t="s">
        <v>2290</v>
      </c>
      <c r="C2243" t="s">
        <v>2293</v>
      </c>
      <c r="D2243">
        <v>1</v>
      </c>
      <c r="E2243" t="s">
        <v>1447</v>
      </c>
      <c r="F2243" t="s">
        <v>2294</v>
      </c>
      <c r="G2243" t="s">
        <v>1737</v>
      </c>
      <c r="H2243" t="s">
        <v>1799</v>
      </c>
      <c r="I2243" t="s">
        <v>1799</v>
      </c>
      <c r="J2243" t="s">
        <v>1799</v>
      </c>
      <c r="K2243" t="s">
        <v>1799</v>
      </c>
      <c r="L2243" t="s">
        <v>1432</v>
      </c>
      <c r="M2243" t="s">
        <v>1799</v>
      </c>
      <c r="N2243" t="s">
        <v>1799</v>
      </c>
      <c r="O2243" s="184" t="str">
        <f>"["&amp;$C2243&amp;"]["&amp;$D2243&amp;"]["&amp;$F2243&amp;"]"</f>
        <v>[S05_BiomassInstallations][1][BiomassInstallationCategory]</v>
      </c>
    </row>
    <row r="2244" spans="1:15" x14ac:dyDescent="0.3">
      <c r="A2244" t="s">
        <v>1793</v>
      </c>
      <c r="B2244" t="s">
        <v>2290</v>
      </c>
      <c r="C2244" t="s">
        <v>2293</v>
      </c>
      <c r="D2244">
        <v>2</v>
      </c>
      <c r="E2244" t="s">
        <v>1447</v>
      </c>
      <c r="F2244" t="s">
        <v>2294</v>
      </c>
      <c r="G2244" t="s">
        <v>1737</v>
      </c>
      <c r="H2244" t="s">
        <v>1799</v>
      </c>
      <c r="I2244" t="s">
        <v>1799</v>
      </c>
      <c r="J2244" t="s">
        <v>1799</v>
      </c>
      <c r="K2244" t="s">
        <v>1799</v>
      </c>
      <c r="L2244" t="s">
        <v>1432</v>
      </c>
      <c r="M2244" t="s">
        <v>1799</v>
      </c>
      <c r="N2244" t="s">
        <v>1799</v>
      </c>
      <c r="O2244" s="184" t="str">
        <f>"["&amp;$C2244&amp;"]["&amp;$D2244&amp;"]["&amp;$F2244&amp;"]"</f>
        <v>[S05_BiomassInstallations][2][BiomassInstallationCategory]</v>
      </c>
    </row>
    <row r="2245" spans="1:15" x14ac:dyDescent="0.3">
      <c r="A2245" t="s">
        <v>1793</v>
      </c>
      <c r="B2245" t="s">
        <v>2290</v>
      </c>
      <c r="C2245" t="s">
        <v>2293</v>
      </c>
      <c r="D2245">
        <v>3</v>
      </c>
      <c r="E2245" t="s">
        <v>1447</v>
      </c>
      <c r="F2245" t="s">
        <v>2294</v>
      </c>
      <c r="G2245" t="s">
        <v>1737</v>
      </c>
      <c r="H2245" t="s">
        <v>1799</v>
      </c>
      <c r="I2245" t="s">
        <v>1799</v>
      </c>
      <c r="J2245" t="s">
        <v>1799</v>
      </c>
      <c r="K2245" t="s">
        <v>1799</v>
      </c>
      <c r="L2245" t="s">
        <v>1460</v>
      </c>
      <c r="M2245" t="s">
        <v>1799</v>
      </c>
      <c r="N2245" t="s">
        <v>1799</v>
      </c>
      <c r="O2245" s="184" t="str">
        <f>"["&amp;$C2245&amp;"]["&amp;$D2245&amp;"]["&amp;$F2245&amp;"]"</f>
        <v>[S05_BiomassInstallations][3][BiomassInstallationCategory]</v>
      </c>
    </row>
    <row r="2246" spans="1:15" x14ac:dyDescent="0.3">
      <c r="A2246" t="s">
        <v>1793</v>
      </c>
      <c r="B2246" t="s">
        <v>2290</v>
      </c>
      <c r="C2246" t="s">
        <v>2293</v>
      </c>
      <c r="D2246">
        <v>4</v>
      </c>
      <c r="E2246" t="s">
        <v>1447</v>
      </c>
      <c r="F2246" t="s">
        <v>2294</v>
      </c>
      <c r="G2246" t="s">
        <v>1737</v>
      </c>
      <c r="H2246" t="s">
        <v>1799</v>
      </c>
      <c r="I2246" t="s">
        <v>1799</v>
      </c>
      <c r="J2246" t="s">
        <v>1799</v>
      </c>
      <c r="K2246" t="s">
        <v>1799</v>
      </c>
      <c r="L2246" t="s">
        <v>1487</v>
      </c>
      <c r="M2246" t="s">
        <v>1799</v>
      </c>
      <c r="N2246" t="s">
        <v>1799</v>
      </c>
      <c r="O2246" s="184" t="str">
        <f>"["&amp;$C2246&amp;"]["&amp;$D2246&amp;"]["&amp;$F2246&amp;"]"</f>
        <v>[S05_BiomassInstallations][4][BiomassInstallationCategory]</v>
      </c>
    </row>
    <row r="2247" spans="1:15" x14ac:dyDescent="0.3">
      <c r="A2247" t="s">
        <v>1793</v>
      </c>
      <c r="B2247" t="s">
        <v>2290</v>
      </c>
      <c r="C2247" t="s">
        <v>2293</v>
      </c>
      <c r="D2247">
        <v>5</v>
      </c>
      <c r="E2247" t="s">
        <v>1447</v>
      </c>
      <c r="F2247" t="s">
        <v>2294</v>
      </c>
      <c r="G2247" t="s">
        <v>1737</v>
      </c>
      <c r="H2247" t="s">
        <v>1799</v>
      </c>
      <c r="I2247" t="s">
        <v>1799</v>
      </c>
      <c r="J2247" t="s">
        <v>1799</v>
      </c>
      <c r="K2247" t="s">
        <v>1799</v>
      </c>
      <c r="L2247" t="s">
        <v>1432</v>
      </c>
      <c r="M2247" t="s">
        <v>1799</v>
      </c>
      <c r="N2247" t="s">
        <v>1799</v>
      </c>
      <c r="O2247" s="184" t="str">
        <f>"["&amp;$C2247&amp;"]["&amp;$D2247&amp;"]["&amp;$F2247&amp;"]"</f>
        <v>[S05_BiomassInstallations][5][BiomassInstallationCategory]</v>
      </c>
    </row>
    <row r="2248" spans="1:15" x14ac:dyDescent="0.3">
      <c r="A2248" t="s">
        <v>1793</v>
      </c>
      <c r="B2248" t="s">
        <v>2290</v>
      </c>
      <c r="C2248" t="s">
        <v>2293</v>
      </c>
      <c r="D2248">
        <v>6</v>
      </c>
      <c r="E2248" t="s">
        <v>1447</v>
      </c>
      <c r="F2248" t="s">
        <v>2294</v>
      </c>
      <c r="G2248" t="s">
        <v>1737</v>
      </c>
      <c r="H2248" t="s">
        <v>1799</v>
      </c>
      <c r="I2248" t="s">
        <v>1799</v>
      </c>
      <c r="J2248" t="s">
        <v>1799</v>
      </c>
      <c r="K2248" t="s">
        <v>1799</v>
      </c>
      <c r="L2248" t="s">
        <v>1460</v>
      </c>
      <c r="M2248" t="s">
        <v>1799</v>
      </c>
      <c r="N2248" t="s">
        <v>1799</v>
      </c>
      <c r="O2248" s="184" t="str">
        <f>"["&amp;$C2248&amp;"]["&amp;$D2248&amp;"]["&amp;$F2248&amp;"]"</f>
        <v>[S05_BiomassInstallations][6][BiomassInstallationCategory]</v>
      </c>
    </row>
    <row r="2249" spans="1:15" x14ac:dyDescent="0.3">
      <c r="A2249" t="s">
        <v>1793</v>
      </c>
      <c r="B2249" t="s">
        <v>2290</v>
      </c>
      <c r="C2249" t="s">
        <v>2293</v>
      </c>
      <c r="D2249">
        <v>7</v>
      </c>
      <c r="E2249" t="s">
        <v>1447</v>
      </c>
      <c r="F2249" t="s">
        <v>2294</v>
      </c>
      <c r="G2249" t="s">
        <v>1737</v>
      </c>
      <c r="H2249" t="s">
        <v>1799</v>
      </c>
      <c r="I2249" t="s">
        <v>1799</v>
      </c>
      <c r="J2249" t="s">
        <v>1799</v>
      </c>
      <c r="K2249" t="s">
        <v>1799</v>
      </c>
      <c r="L2249" t="s">
        <v>1460</v>
      </c>
      <c r="M2249" t="s">
        <v>1799</v>
      </c>
      <c r="N2249" t="s">
        <v>1799</v>
      </c>
      <c r="O2249" s="184" t="str">
        <f>"["&amp;$C2249&amp;"]["&amp;$D2249&amp;"]["&amp;$F2249&amp;"]"</f>
        <v>[S05_BiomassInstallations][7][BiomassInstallationCategory]</v>
      </c>
    </row>
    <row r="2250" spans="1:15" x14ac:dyDescent="0.3">
      <c r="A2250" t="s">
        <v>1793</v>
      </c>
      <c r="B2250" t="s">
        <v>2290</v>
      </c>
      <c r="C2250" t="s">
        <v>2293</v>
      </c>
      <c r="D2250">
        <v>8</v>
      </c>
      <c r="E2250" t="s">
        <v>1447</v>
      </c>
      <c r="F2250" t="s">
        <v>2294</v>
      </c>
      <c r="G2250" t="s">
        <v>1737</v>
      </c>
      <c r="H2250" t="s">
        <v>1799</v>
      </c>
      <c r="I2250" t="s">
        <v>1799</v>
      </c>
      <c r="J2250" t="s">
        <v>1799</v>
      </c>
      <c r="K2250" t="s">
        <v>1799</v>
      </c>
      <c r="L2250" t="s">
        <v>1487</v>
      </c>
      <c r="M2250" t="s">
        <v>1799</v>
      </c>
      <c r="N2250" t="s">
        <v>1799</v>
      </c>
      <c r="O2250" s="184" t="str">
        <f>"["&amp;$C2250&amp;"]["&amp;$D2250&amp;"]["&amp;$F2250&amp;"]"</f>
        <v>[S05_BiomassInstallations][8][BiomassInstallationCategory]</v>
      </c>
    </row>
    <row r="2251" spans="1:15" x14ac:dyDescent="0.3">
      <c r="A2251" t="s">
        <v>1793</v>
      </c>
      <c r="B2251" t="s">
        <v>2290</v>
      </c>
      <c r="C2251" t="s">
        <v>2293</v>
      </c>
      <c r="D2251">
        <v>9</v>
      </c>
      <c r="E2251" t="s">
        <v>1447</v>
      </c>
      <c r="F2251" t="s">
        <v>2294</v>
      </c>
      <c r="G2251" t="s">
        <v>1737</v>
      </c>
      <c r="H2251" t="s">
        <v>1799</v>
      </c>
      <c r="I2251" t="s">
        <v>1799</v>
      </c>
      <c r="J2251" t="s">
        <v>1799</v>
      </c>
      <c r="K2251" t="s">
        <v>1799</v>
      </c>
      <c r="L2251" t="s">
        <v>1460</v>
      </c>
      <c r="M2251" t="s">
        <v>1799</v>
      </c>
      <c r="N2251" t="s">
        <v>1799</v>
      </c>
      <c r="O2251" s="184" t="str">
        <f>"["&amp;$C2251&amp;"]["&amp;$D2251&amp;"]["&amp;$F2251&amp;"]"</f>
        <v>[S05_BiomassInstallations][9][BiomassInstallationCategory]</v>
      </c>
    </row>
    <row r="2252" spans="1:15" x14ac:dyDescent="0.3">
      <c r="A2252" t="s">
        <v>1793</v>
      </c>
      <c r="B2252" t="s">
        <v>2290</v>
      </c>
      <c r="C2252" t="s">
        <v>2293</v>
      </c>
      <c r="D2252">
        <v>10</v>
      </c>
      <c r="E2252" t="s">
        <v>1447</v>
      </c>
      <c r="F2252" t="s">
        <v>2294</v>
      </c>
      <c r="G2252" t="s">
        <v>1737</v>
      </c>
      <c r="H2252" t="s">
        <v>1799</v>
      </c>
      <c r="I2252" t="s">
        <v>1799</v>
      </c>
      <c r="J2252" t="s">
        <v>1799</v>
      </c>
      <c r="K2252" t="s">
        <v>1799</v>
      </c>
      <c r="L2252" t="s">
        <v>1487</v>
      </c>
      <c r="M2252" t="s">
        <v>1799</v>
      </c>
      <c r="N2252" t="s">
        <v>1799</v>
      </c>
      <c r="O2252" s="184" t="str">
        <f>"["&amp;$C2252&amp;"]["&amp;$D2252&amp;"]["&amp;$F2252&amp;"]"</f>
        <v>[S05_BiomassInstallations][10][BiomassInstallationCategory]</v>
      </c>
    </row>
    <row r="2253" spans="1:15" x14ac:dyDescent="0.3">
      <c r="A2253" t="s">
        <v>1793</v>
      </c>
      <c r="B2253" t="s">
        <v>2290</v>
      </c>
      <c r="C2253" t="s">
        <v>2293</v>
      </c>
      <c r="D2253">
        <v>11</v>
      </c>
      <c r="E2253" t="s">
        <v>1447</v>
      </c>
      <c r="F2253" t="s">
        <v>2294</v>
      </c>
      <c r="G2253" t="s">
        <v>1737</v>
      </c>
      <c r="H2253" t="s">
        <v>1799</v>
      </c>
      <c r="I2253" t="s">
        <v>1799</v>
      </c>
      <c r="J2253" t="s">
        <v>1799</v>
      </c>
      <c r="K2253" t="s">
        <v>1799</v>
      </c>
      <c r="L2253" t="s">
        <v>1432</v>
      </c>
      <c r="M2253" t="s">
        <v>1799</v>
      </c>
      <c r="N2253" t="s">
        <v>1799</v>
      </c>
      <c r="O2253" s="184" t="str">
        <f>"["&amp;$C2253&amp;"]["&amp;$D2253&amp;"]["&amp;$F2253&amp;"]"</f>
        <v>[S05_BiomassInstallations][11][BiomassInstallationCategory]</v>
      </c>
    </row>
    <row r="2254" spans="1:15" x14ac:dyDescent="0.3">
      <c r="A2254" t="s">
        <v>1793</v>
      </c>
      <c r="B2254" t="s">
        <v>2290</v>
      </c>
      <c r="C2254" t="s">
        <v>2293</v>
      </c>
      <c r="D2254">
        <v>12</v>
      </c>
      <c r="E2254" t="s">
        <v>1447</v>
      </c>
      <c r="F2254" t="s">
        <v>2294</v>
      </c>
      <c r="G2254" t="s">
        <v>1737</v>
      </c>
      <c r="H2254" t="s">
        <v>1799</v>
      </c>
      <c r="I2254" t="s">
        <v>1799</v>
      </c>
      <c r="J2254" t="s">
        <v>1799</v>
      </c>
      <c r="K2254" t="s">
        <v>1799</v>
      </c>
      <c r="L2254" t="s">
        <v>1460</v>
      </c>
      <c r="M2254" t="s">
        <v>1799</v>
      </c>
      <c r="N2254" t="s">
        <v>1799</v>
      </c>
      <c r="O2254" s="184" t="str">
        <f>"["&amp;$C2254&amp;"]["&amp;$D2254&amp;"]["&amp;$F2254&amp;"]"</f>
        <v>[S05_BiomassInstallations][12][BiomassInstallationCategory]</v>
      </c>
    </row>
    <row r="2255" spans="1:15" x14ac:dyDescent="0.3">
      <c r="A2255" t="s">
        <v>1793</v>
      </c>
      <c r="B2255" t="s">
        <v>2290</v>
      </c>
      <c r="C2255" t="s">
        <v>2293</v>
      </c>
      <c r="D2255">
        <v>13</v>
      </c>
      <c r="E2255" t="s">
        <v>1447</v>
      </c>
      <c r="F2255" t="s">
        <v>2294</v>
      </c>
      <c r="G2255" t="s">
        <v>1737</v>
      </c>
      <c r="H2255" t="s">
        <v>1799</v>
      </c>
      <c r="I2255" t="s">
        <v>1799</v>
      </c>
      <c r="J2255" t="s">
        <v>1799</v>
      </c>
      <c r="K2255" t="s">
        <v>1799</v>
      </c>
      <c r="L2255" t="s">
        <v>1432</v>
      </c>
      <c r="M2255" t="s">
        <v>1799</v>
      </c>
      <c r="N2255" t="s">
        <v>1799</v>
      </c>
      <c r="O2255" s="184" t="str">
        <f>"["&amp;$C2255&amp;"]["&amp;$D2255&amp;"]["&amp;$F2255&amp;"]"</f>
        <v>[S05_BiomassInstallations][13][BiomassInstallationCategory]</v>
      </c>
    </row>
    <row r="2256" spans="1:15" x14ac:dyDescent="0.3">
      <c r="A2256" t="s">
        <v>1793</v>
      </c>
      <c r="B2256" t="s">
        <v>2290</v>
      </c>
      <c r="C2256" t="s">
        <v>2293</v>
      </c>
      <c r="D2256">
        <v>14</v>
      </c>
      <c r="E2256" t="s">
        <v>1447</v>
      </c>
      <c r="F2256" t="s">
        <v>2294</v>
      </c>
      <c r="G2256" t="s">
        <v>1737</v>
      </c>
      <c r="H2256" t="s">
        <v>1799</v>
      </c>
      <c r="I2256" t="s">
        <v>1799</v>
      </c>
      <c r="J2256" t="s">
        <v>1799</v>
      </c>
      <c r="K2256" t="s">
        <v>1799</v>
      </c>
      <c r="L2256" t="s">
        <v>1460</v>
      </c>
      <c r="M2256" t="s">
        <v>1799</v>
      </c>
      <c r="N2256" t="s">
        <v>1799</v>
      </c>
      <c r="O2256" s="184" t="str">
        <f>"["&amp;$C2256&amp;"]["&amp;$D2256&amp;"]["&amp;$F2256&amp;"]"</f>
        <v>[S05_BiomassInstallations][14][BiomassInstallationCategory]</v>
      </c>
    </row>
    <row r="2257" spans="1:15" x14ac:dyDescent="0.3">
      <c r="A2257" t="s">
        <v>1793</v>
      </c>
      <c r="B2257" t="s">
        <v>2290</v>
      </c>
      <c r="C2257" t="s">
        <v>2293</v>
      </c>
      <c r="D2257">
        <v>15</v>
      </c>
      <c r="E2257" t="s">
        <v>1447</v>
      </c>
      <c r="F2257" t="s">
        <v>2294</v>
      </c>
      <c r="G2257" t="s">
        <v>1737</v>
      </c>
      <c r="H2257" t="s">
        <v>1799</v>
      </c>
      <c r="I2257" t="s">
        <v>1799</v>
      </c>
      <c r="J2257" t="s">
        <v>1799</v>
      </c>
      <c r="K2257" t="s">
        <v>1799</v>
      </c>
      <c r="L2257" t="s">
        <v>1432</v>
      </c>
      <c r="M2257" t="s">
        <v>1799</v>
      </c>
      <c r="N2257" t="s">
        <v>1799</v>
      </c>
      <c r="O2257" s="184" t="str">
        <f>"["&amp;$C2257&amp;"]["&amp;$D2257&amp;"]["&amp;$F2257&amp;"]"</f>
        <v>[S05_BiomassInstallations][15][BiomassInstallationCategory]</v>
      </c>
    </row>
    <row r="2258" spans="1:15" x14ac:dyDescent="0.3">
      <c r="A2258" t="s">
        <v>1793</v>
      </c>
      <c r="B2258" t="s">
        <v>2290</v>
      </c>
      <c r="C2258" t="s">
        <v>2293</v>
      </c>
      <c r="D2258">
        <v>16</v>
      </c>
      <c r="E2258" t="s">
        <v>1447</v>
      </c>
      <c r="F2258" t="s">
        <v>2294</v>
      </c>
      <c r="G2258" t="s">
        <v>1737</v>
      </c>
      <c r="H2258" t="s">
        <v>1799</v>
      </c>
      <c r="I2258" t="s">
        <v>1799</v>
      </c>
      <c r="J2258" t="s">
        <v>1799</v>
      </c>
      <c r="K2258" t="s">
        <v>1799</v>
      </c>
      <c r="L2258" t="s">
        <v>1460</v>
      </c>
      <c r="M2258" t="s">
        <v>1799</v>
      </c>
      <c r="N2258" t="s">
        <v>1799</v>
      </c>
      <c r="O2258" s="184" t="str">
        <f>"["&amp;$C2258&amp;"]["&amp;$D2258&amp;"]["&amp;$F2258&amp;"]"</f>
        <v>[S05_BiomassInstallations][16][BiomassInstallationCategory]</v>
      </c>
    </row>
    <row r="2259" spans="1:15" x14ac:dyDescent="0.3">
      <c r="A2259" t="s">
        <v>1793</v>
      </c>
      <c r="B2259" t="s">
        <v>2290</v>
      </c>
      <c r="C2259" t="s">
        <v>2293</v>
      </c>
      <c r="D2259">
        <v>17</v>
      </c>
      <c r="E2259" t="s">
        <v>1447</v>
      </c>
      <c r="F2259" t="s">
        <v>2294</v>
      </c>
      <c r="G2259" t="s">
        <v>1737</v>
      </c>
      <c r="H2259" t="s">
        <v>1799</v>
      </c>
      <c r="I2259" t="s">
        <v>1799</v>
      </c>
      <c r="J2259" t="s">
        <v>1799</v>
      </c>
      <c r="K2259" t="s">
        <v>1799</v>
      </c>
      <c r="L2259" t="s">
        <v>1432</v>
      </c>
      <c r="M2259" t="s">
        <v>1799</v>
      </c>
      <c r="N2259" t="s">
        <v>1799</v>
      </c>
      <c r="O2259" s="184" t="str">
        <f>"["&amp;$C2259&amp;"]["&amp;$D2259&amp;"]["&amp;$F2259&amp;"]"</f>
        <v>[S05_BiomassInstallations][17][BiomassInstallationCategory]</v>
      </c>
    </row>
    <row r="2260" spans="1:15" x14ac:dyDescent="0.3">
      <c r="A2260" t="s">
        <v>1793</v>
      </c>
      <c r="B2260" t="s">
        <v>2290</v>
      </c>
      <c r="C2260" t="s">
        <v>2293</v>
      </c>
      <c r="D2260">
        <v>18</v>
      </c>
      <c r="E2260" t="s">
        <v>1447</v>
      </c>
      <c r="F2260" t="s">
        <v>2294</v>
      </c>
      <c r="G2260" t="s">
        <v>1737</v>
      </c>
      <c r="H2260" t="s">
        <v>1799</v>
      </c>
      <c r="I2260" t="s">
        <v>1799</v>
      </c>
      <c r="J2260" t="s">
        <v>1799</v>
      </c>
      <c r="K2260" t="s">
        <v>1799</v>
      </c>
      <c r="L2260" t="s">
        <v>1460</v>
      </c>
      <c r="M2260" t="s">
        <v>1799</v>
      </c>
      <c r="N2260" t="s">
        <v>1799</v>
      </c>
      <c r="O2260" s="184" t="str">
        <f>"["&amp;$C2260&amp;"]["&amp;$D2260&amp;"]["&amp;$F2260&amp;"]"</f>
        <v>[S05_BiomassInstallations][18][BiomassInstallationCategory]</v>
      </c>
    </row>
    <row r="2261" spans="1:15" x14ac:dyDescent="0.3">
      <c r="A2261" t="s">
        <v>1793</v>
      </c>
      <c r="B2261" t="s">
        <v>2290</v>
      </c>
      <c r="C2261" t="s">
        <v>2293</v>
      </c>
      <c r="D2261">
        <v>19</v>
      </c>
      <c r="E2261" t="s">
        <v>1447</v>
      </c>
      <c r="F2261" t="s">
        <v>2294</v>
      </c>
      <c r="G2261" t="s">
        <v>1737</v>
      </c>
      <c r="H2261" t="s">
        <v>1799</v>
      </c>
      <c r="I2261" t="s">
        <v>1799</v>
      </c>
      <c r="J2261" t="s">
        <v>1799</v>
      </c>
      <c r="K2261" t="s">
        <v>1799</v>
      </c>
      <c r="L2261" t="s">
        <v>1432</v>
      </c>
      <c r="M2261" t="s">
        <v>1799</v>
      </c>
      <c r="N2261" t="s">
        <v>1799</v>
      </c>
      <c r="O2261" s="184" t="str">
        <f>"["&amp;$C2261&amp;"]["&amp;$D2261&amp;"]["&amp;$F2261&amp;"]"</f>
        <v>[S05_BiomassInstallations][19][BiomassInstallationCategory]</v>
      </c>
    </row>
    <row r="2262" spans="1:15" x14ac:dyDescent="0.3">
      <c r="A2262" t="s">
        <v>1793</v>
      </c>
      <c r="B2262" t="s">
        <v>2290</v>
      </c>
      <c r="C2262" t="s">
        <v>2293</v>
      </c>
      <c r="D2262">
        <v>20</v>
      </c>
      <c r="E2262" t="s">
        <v>1447</v>
      </c>
      <c r="F2262" t="s">
        <v>2294</v>
      </c>
      <c r="G2262" t="s">
        <v>1737</v>
      </c>
      <c r="H2262" t="s">
        <v>1799</v>
      </c>
      <c r="I2262" t="s">
        <v>1799</v>
      </c>
      <c r="J2262" t="s">
        <v>1799</v>
      </c>
      <c r="K2262" t="s">
        <v>1799</v>
      </c>
      <c r="L2262" t="s">
        <v>1460</v>
      </c>
      <c r="M2262" t="s">
        <v>1799</v>
      </c>
      <c r="N2262" t="s">
        <v>1799</v>
      </c>
      <c r="O2262" s="184" t="str">
        <f>"["&amp;$C2262&amp;"]["&amp;$D2262&amp;"]["&amp;$F2262&amp;"]"</f>
        <v>[S05_BiomassInstallations][20][BiomassInstallationCategory]</v>
      </c>
    </row>
    <row r="2263" spans="1:15" x14ac:dyDescent="0.3">
      <c r="A2263" t="s">
        <v>1793</v>
      </c>
      <c r="B2263" t="s">
        <v>2290</v>
      </c>
      <c r="C2263" t="s">
        <v>2293</v>
      </c>
      <c r="D2263">
        <v>21</v>
      </c>
      <c r="E2263" t="s">
        <v>1447</v>
      </c>
      <c r="F2263" t="s">
        <v>2294</v>
      </c>
      <c r="G2263" t="s">
        <v>1737</v>
      </c>
      <c r="H2263" t="s">
        <v>1799</v>
      </c>
      <c r="I2263" t="s">
        <v>1799</v>
      </c>
      <c r="J2263" t="s">
        <v>1799</v>
      </c>
      <c r="K2263" t="s">
        <v>1799</v>
      </c>
      <c r="L2263" t="s">
        <v>1487</v>
      </c>
      <c r="M2263" t="s">
        <v>1799</v>
      </c>
      <c r="N2263" t="s">
        <v>1799</v>
      </c>
      <c r="O2263" s="184" t="str">
        <f>"["&amp;$C2263&amp;"]["&amp;$D2263&amp;"]["&amp;$F2263&amp;"]"</f>
        <v>[S05_BiomassInstallations][21][BiomassInstallationCategory]</v>
      </c>
    </row>
    <row r="2264" spans="1:15" x14ac:dyDescent="0.3">
      <c r="A2264" t="s">
        <v>1793</v>
      </c>
      <c r="B2264" t="s">
        <v>2290</v>
      </c>
      <c r="C2264" t="s">
        <v>2293</v>
      </c>
      <c r="D2264">
        <v>22</v>
      </c>
      <c r="E2264" t="s">
        <v>1447</v>
      </c>
      <c r="F2264" t="s">
        <v>2294</v>
      </c>
      <c r="G2264" t="s">
        <v>1737</v>
      </c>
      <c r="H2264" t="s">
        <v>1799</v>
      </c>
      <c r="I2264" t="s">
        <v>1799</v>
      </c>
      <c r="J2264" t="s">
        <v>1799</v>
      </c>
      <c r="K2264" t="s">
        <v>1799</v>
      </c>
      <c r="L2264" t="s">
        <v>1432</v>
      </c>
      <c r="M2264" t="s">
        <v>1799</v>
      </c>
      <c r="N2264" t="s">
        <v>1799</v>
      </c>
      <c r="O2264" s="184" t="str">
        <f>"["&amp;$C2264&amp;"]["&amp;$D2264&amp;"]["&amp;$F2264&amp;"]"</f>
        <v>[S05_BiomassInstallations][22][BiomassInstallationCategory]</v>
      </c>
    </row>
    <row r="2265" spans="1:15" x14ac:dyDescent="0.3">
      <c r="A2265" t="s">
        <v>1793</v>
      </c>
      <c r="B2265" t="s">
        <v>2290</v>
      </c>
      <c r="C2265" t="s">
        <v>2293</v>
      </c>
      <c r="D2265">
        <v>23</v>
      </c>
      <c r="E2265" t="s">
        <v>1447</v>
      </c>
      <c r="F2265" t="s">
        <v>2294</v>
      </c>
      <c r="G2265" t="s">
        <v>1737</v>
      </c>
      <c r="H2265" t="s">
        <v>1799</v>
      </c>
      <c r="I2265" t="s">
        <v>1799</v>
      </c>
      <c r="J2265" t="s">
        <v>1799</v>
      </c>
      <c r="K2265" t="s">
        <v>1799</v>
      </c>
      <c r="L2265" t="s">
        <v>1487</v>
      </c>
      <c r="M2265" t="s">
        <v>1799</v>
      </c>
      <c r="N2265" t="s">
        <v>1799</v>
      </c>
      <c r="O2265" s="184" t="str">
        <f>"["&amp;$C2265&amp;"]["&amp;$D2265&amp;"]["&amp;$F2265&amp;"]"</f>
        <v>[S05_BiomassInstallations][23][BiomassInstallationCategory]</v>
      </c>
    </row>
    <row r="2266" spans="1:15" x14ac:dyDescent="0.3">
      <c r="A2266" t="s">
        <v>1793</v>
      </c>
      <c r="B2266" t="s">
        <v>2290</v>
      </c>
      <c r="C2266" t="s">
        <v>2293</v>
      </c>
      <c r="D2266">
        <v>24</v>
      </c>
      <c r="E2266" t="s">
        <v>1447</v>
      </c>
      <c r="F2266" t="s">
        <v>2294</v>
      </c>
      <c r="G2266" t="s">
        <v>1737</v>
      </c>
      <c r="H2266" t="s">
        <v>1799</v>
      </c>
      <c r="I2266" t="s">
        <v>1799</v>
      </c>
      <c r="J2266" t="s">
        <v>1799</v>
      </c>
      <c r="K2266" t="s">
        <v>1799</v>
      </c>
      <c r="L2266" t="s">
        <v>1460</v>
      </c>
      <c r="M2266" t="s">
        <v>1799</v>
      </c>
      <c r="N2266" t="s">
        <v>1799</v>
      </c>
      <c r="O2266" s="184" t="str">
        <f>"["&amp;$C2266&amp;"]["&amp;$D2266&amp;"]["&amp;$F2266&amp;"]"</f>
        <v>[S05_BiomassInstallations][24][BiomassInstallationCategory]</v>
      </c>
    </row>
    <row r="2267" spans="1:15" x14ac:dyDescent="0.3">
      <c r="A2267" t="s">
        <v>1793</v>
      </c>
      <c r="B2267" t="s">
        <v>2290</v>
      </c>
      <c r="C2267" t="s">
        <v>2293</v>
      </c>
      <c r="D2267">
        <v>25</v>
      </c>
      <c r="E2267" t="s">
        <v>1447</v>
      </c>
      <c r="F2267" t="s">
        <v>2294</v>
      </c>
      <c r="G2267" t="s">
        <v>1737</v>
      </c>
      <c r="H2267" t="s">
        <v>1799</v>
      </c>
      <c r="I2267" t="s">
        <v>1799</v>
      </c>
      <c r="J2267" t="s">
        <v>1799</v>
      </c>
      <c r="K2267" t="s">
        <v>1799</v>
      </c>
      <c r="L2267" t="s">
        <v>1432</v>
      </c>
      <c r="M2267" t="s">
        <v>1799</v>
      </c>
      <c r="N2267" t="s">
        <v>1799</v>
      </c>
      <c r="O2267" s="184" t="str">
        <f>"["&amp;$C2267&amp;"]["&amp;$D2267&amp;"]["&amp;$F2267&amp;"]"</f>
        <v>[S05_BiomassInstallations][25][BiomassInstallationCategory]</v>
      </c>
    </row>
    <row r="2268" spans="1:15" x14ac:dyDescent="0.3">
      <c r="A2268" t="s">
        <v>1793</v>
      </c>
      <c r="B2268" t="s">
        <v>2290</v>
      </c>
      <c r="C2268" t="s">
        <v>2293</v>
      </c>
      <c r="D2268">
        <v>26</v>
      </c>
      <c r="E2268" t="s">
        <v>1447</v>
      </c>
      <c r="F2268" t="s">
        <v>2294</v>
      </c>
      <c r="G2268" t="s">
        <v>1737</v>
      </c>
      <c r="H2268" t="s">
        <v>1799</v>
      </c>
      <c r="I2268" t="s">
        <v>1799</v>
      </c>
      <c r="J2268" t="s">
        <v>1799</v>
      </c>
      <c r="K2268" t="s">
        <v>1799</v>
      </c>
      <c r="L2268" t="s">
        <v>1460</v>
      </c>
      <c r="M2268" t="s">
        <v>1799</v>
      </c>
      <c r="N2268" t="s">
        <v>1799</v>
      </c>
      <c r="O2268" s="184" t="str">
        <f>"["&amp;$C2268&amp;"]["&amp;$D2268&amp;"]["&amp;$F2268&amp;"]"</f>
        <v>[S05_BiomassInstallations][26][BiomassInstallationCategory]</v>
      </c>
    </row>
    <row r="2269" spans="1:15" x14ac:dyDescent="0.3">
      <c r="A2269" t="s">
        <v>1793</v>
      </c>
      <c r="B2269" t="s">
        <v>2290</v>
      </c>
      <c r="C2269" t="s">
        <v>2293</v>
      </c>
      <c r="D2269">
        <v>1</v>
      </c>
      <c r="E2269" t="s">
        <v>1447</v>
      </c>
      <c r="F2269" t="s">
        <v>2295</v>
      </c>
      <c r="G2269" t="s">
        <v>1811</v>
      </c>
      <c r="H2269" t="s">
        <v>1799</v>
      </c>
      <c r="I2269">
        <v>1</v>
      </c>
      <c r="J2269" t="s">
        <v>1799</v>
      </c>
      <c r="K2269" t="s">
        <v>1799</v>
      </c>
      <c r="L2269" t="s">
        <v>1799</v>
      </c>
      <c r="M2269" t="s">
        <v>1799</v>
      </c>
      <c r="N2269" t="s">
        <v>1799</v>
      </c>
      <c r="O2269" s="184" t="str">
        <f>"["&amp;$C2269&amp;"]["&amp;$D2269&amp;"]["&amp;$F2269&amp;"]"</f>
        <v>[S05_BiomassInstallations][1][NumberUsingBiomass]</v>
      </c>
    </row>
    <row r="2270" spans="1:15" x14ac:dyDescent="0.3">
      <c r="A2270" t="s">
        <v>1793</v>
      </c>
      <c r="B2270" t="s">
        <v>2290</v>
      </c>
      <c r="C2270" t="s">
        <v>2293</v>
      </c>
      <c r="D2270">
        <v>2</v>
      </c>
      <c r="E2270" t="s">
        <v>1447</v>
      </c>
      <c r="F2270" t="s">
        <v>2295</v>
      </c>
      <c r="G2270" t="s">
        <v>1811</v>
      </c>
      <c r="H2270" t="s">
        <v>1799</v>
      </c>
      <c r="I2270">
        <v>1</v>
      </c>
      <c r="J2270" t="s">
        <v>1799</v>
      </c>
      <c r="K2270" t="s">
        <v>1799</v>
      </c>
      <c r="L2270" t="s">
        <v>1799</v>
      </c>
      <c r="M2270" t="s">
        <v>1799</v>
      </c>
      <c r="N2270" t="s">
        <v>1799</v>
      </c>
      <c r="O2270" s="184" t="str">
        <f>"["&amp;$C2270&amp;"]["&amp;$D2270&amp;"]["&amp;$F2270&amp;"]"</f>
        <v>[S05_BiomassInstallations][2][NumberUsingBiomass]</v>
      </c>
    </row>
    <row r="2271" spans="1:15" x14ac:dyDescent="0.3">
      <c r="A2271" t="s">
        <v>1793</v>
      </c>
      <c r="B2271" t="s">
        <v>2290</v>
      </c>
      <c r="C2271" t="s">
        <v>2293</v>
      </c>
      <c r="D2271">
        <v>3</v>
      </c>
      <c r="E2271" t="s">
        <v>1447</v>
      </c>
      <c r="F2271" t="s">
        <v>2295</v>
      </c>
      <c r="G2271" t="s">
        <v>1811</v>
      </c>
      <c r="H2271" t="s">
        <v>1799</v>
      </c>
      <c r="I2271">
        <v>4</v>
      </c>
      <c r="J2271" t="s">
        <v>1799</v>
      </c>
      <c r="K2271" t="s">
        <v>1799</v>
      </c>
      <c r="L2271" t="s">
        <v>1799</v>
      </c>
      <c r="M2271" t="s">
        <v>1799</v>
      </c>
      <c r="N2271" t="s">
        <v>1799</v>
      </c>
      <c r="O2271" s="184" t="str">
        <f>"["&amp;$C2271&amp;"]["&amp;$D2271&amp;"]["&amp;$F2271&amp;"]"</f>
        <v>[S05_BiomassInstallations][3][NumberUsingBiomass]</v>
      </c>
    </row>
    <row r="2272" spans="1:15" x14ac:dyDescent="0.3">
      <c r="A2272" t="s">
        <v>1793</v>
      </c>
      <c r="B2272" t="s">
        <v>2290</v>
      </c>
      <c r="C2272" t="s">
        <v>2293</v>
      </c>
      <c r="D2272">
        <v>4</v>
      </c>
      <c r="E2272" t="s">
        <v>1447</v>
      </c>
      <c r="F2272" t="s">
        <v>2295</v>
      </c>
      <c r="G2272" t="s">
        <v>1811</v>
      </c>
      <c r="H2272" t="s">
        <v>1799</v>
      </c>
      <c r="I2272">
        <v>2</v>
      </c>
      <c r="J2272" t="s">
        <v>1799</v>
      </c>
      <c r="K2272" t="s">
        <v>1799</v>
      </c>
      <c r="L2272" t="s">
        <v>1799</v>
      </c>
      <c r="M2272" t="s">
        <v>1799</v>
      </c>
      <c r="N2272" t="s">
        <v>1799</v>
      </c>
      <c r="O2272" s="184" t="str">
        <f>"["&amp;$C2272&amp;"]["&amp;$D2272&amp;"]["&amp;$F2272&amp;"]"</f>
        <v>[S05_BiomassInstallations][4][NumberUsingBiomass]</v>
      </c>
    </row>
    <row r="2273" spans="1:15" x14ac:dyDescent="0.3">
      <c r="A2273" t="s">
        <v>1793</v>
      </c>
      <c r="B2273" t="s">
        <v>2290</v>
      </c>
      <c r="C2273" t="s">
        <v>2293</v>
      </c>
      <c r="D2273">
        <v>5</v>
      </c>
      <c r="E2273" t="s">
        <v>1447</v>
      </c>
      <c r="F2273" t="s">
        <v>2295</v>
      </c>
      <c r="G2273" t="s">
        <v>1811</v>
      </c>
      <c r="H2273" t="s">
        <v>1799</v>
      </c>
      <c r="I2273">
        <v>4</v>
      </c>
      <c r="J2273" t="s">
        <v>1799</v>
      </c>
      <c r="K2273" t="s">
        <v>1799</v>
      </c>
      <c r="L2273" t="s">
        <v>1799</v>
      </c>
      <c r="M2273" t="s">
        <v>1799</v>
      </c>
      <c r="N2273" t="s">
        <v>1799</v>
      </c>
      <c r="O2273" s="184" t="str">
        <f>"["&amp;$C2273&amp;"]["&amp;$D2273&amp;"]["&amp;$F2273&amp;"]"</f>
        <v>[S05_BiomassInstallations][5][NumberUsingBiomass]</v>
      </c>
    </row>
    <row r="2274" spans="1:15" x14ac:dyDescent="0.3">
      <c r="A2274" t="s">
        <v>1793</v>
      </c>
      <c r="B2274" t="s">
        <v>2290</v>
      </c>
      <c r="C2274" t="s">
        <v>2293</v>
      </c>
      <c r="D2274">
        <v>6</v>
      </c>
      <c r="E2274" t="s">
        <v>1447</v>
      </c>
      <c r="F2274" t="s">
        <v>2295</v>
      </c>
      <c r="G2274" t="s">
        <v>1811</v>
      </c>
      <c r="H2274" t="s">
        <v>1799</v>
      </c>
      <c r="I2274">
        <v>3</v>
      </c>
      <c r="J2274" t="s">
        <v>1799</v>
      </c>
      <c r="K2274" t="s">
        <v>1799</v>
      </c>
      <c r="L2274" t="s">
        <v>1799</v>
      </c>
      <c r="M2274" t="s">
        <v>1799</v>
      </c>
      <c r="N2274" t="s">
        <v>1799</v>
      </c>
      <c r="O2274" s="184" t="str">
        <f>"["&amp;$C2274&amp;"]["&amp;$D2274&amp;"]["&amp;$F2274&amp;"]"</f>
        <v>[S05_BiomassInstallations][6][NumberUsingBiomass]</v>
      </c>
    </row>
    <row r="2275" spans="1:15" x14ac:dyDescent="0.3">
      <c r="A2275" t="s">
        <v>1793</v>
      </c>
      <c r="B2275" t="s">
        <v>2290</v>
      </c>
      <c r="C2275" t="s">
        <v>2293</v>
      </c>
      <c r="D2275">
        <v>7</v>
      </c>
      <c r="E2275" t="s">
        <v>1447</v>
      </c>
      <c r="F2275" t="s">
        <v>2295</v>
      </c>
      <c r="G2275" t="s">
        <v>1811</v>
      </c>
      <c r="H2275" t="s">
        <v>1799</v>
      </c>
      <c r="I2275">
        <v>9</v>
      </c>
      <c r="J2275" t="s">
        <v>1799</v>
      </c>
      <c r="K2275" t="s">
        <v>1799</v>
      </c>
      <c r="L2275" t="s">
        <v>1799</v>
      </c>
      <c r="M2275" t="s">
        <v>1799</v>
      </c>
      <c r="N2275" t="s">
        <v>1799</v>
      </c>
      <c r="O2275" s="184" t="str">
        <f>"["&amp;$C2275&amp;"]["&amp;$D2275&amp;"]["&amp;$F2275&amp;"]"</f>
        <v>[S05_BiomassInstallations][7][NumberUsingBiomass]</v>
      </c>
    </row>
    <row r="2276" spans="1:15" x14ac:dyDescent="0.3">
      <c r="A2276" t="s">
        <v>1793</v>
      </c>
      <c r="B2276" t="s">
        <v>2290</v>
      </c>
      <c r="C2276" t="s">
        <v>2293</v>
      </c>
      <c r="D2276">
        <v>8</v>
      </c>
      <c r="E2276" t="s">
        <v>1447</v>
      </c>
      <c r="F2276" t="s">
        <v>2295</v>
      </c>
      <c r="G2276" t="s">
        <v>1811</v>
      </c>
      <c r="H2276" t="s">
        <v>1799</v>
      </c>
      <c r="I2276">
        <v>24</v>
      </c>
      <c r="J2276" t="s">
        <v>1799</v>
      </c>
      <c r="K2276" t="s">
        <v>1799</v>
      </c>
      <c r="L2276" t="s">
        <v>1799</v>
      </c>
      <c r="M2276" t="s">
        <v>1799</v>
      </c>
      <c r="N2276" t="s">
        <v>1799</v>
      </c>
      <c r="O2276" s="184" t="str">
        <f>"["&amp;$C2276&amp;"]["&amp;$D2276&amp;"]["&amp;$F2276&amp;"]"</f>
        <v>[S05_BiomassInstallations][8][NumberUsingBiomass]</v>
      </c>
    </row>
    <row r="2277" spans="1:15" x14ac:dyDescent="0.3">
      <c r="A2277" t="s">
        <v>1793</v>
      </c>
      <c r="B2277" t="s">
        <v>2290</v>
      </c>
      <c r="C2277" t="s">
        <v>2293</v>
      </c>
      <c r="D2277">
        <v>9</v>
      </c>
      <c r="E2277" t="s">
        <v>1447</v>
      </c>
      <c r="F2277" t="s">
        <v>2295</v>
      </c>
      <c r="G2277" t="s">
        <v>1811</v>
      </c>
      <c r="H2277" t="s">
        <v>1799</v>
      </c>
      <c r="I2277">
        <v>14</v>
      </c>
      <c r="J2277" t="s">
        <v>1799</v>
      </c>
      <c r="K2277" t="s">
        <v>1799</v>
      </c>
      <c r="L2277" t="s">
        <v>1799</v>
      </c>
      <c r="M2277" t="s">
        <v>1799</v>
      </c>
      <c r="N2277" t="s">
        <v>1799</v>
      </c>
      <c r="O2277" s="184" t="str">
        <f>"["&amp;$C2277&amp;"]["&amp;$D2277&amp;"]["&amp;$F2277&amp;"]"</f>
        <v>[S05_BiomassInstallations][9][NumberUsingBiomass]</v>
      </c>
    </row>
    <row r="2278" spans="1:15" x14ac:dyDescent="0.3">
      <c r="A2278" t="s">
        <v>1793</v>
      </c>
      <c r="B2278" t="s">
        <v>2290</v>
      </c>
      <c r="C2278" t="s">
        <v>2293</v>
      </c>
      <c r="D2278">
        <v>10</v>
      </c>
      <c r="E2278" t="s">
        <v>1447</v>
      </c>
      <c r="F2278" t="s">
        <v>2295</v>
      </c>
      <c r="G2278" t="s">
        <v>1811</v>
      </c>
      <c r="H2278" t="s">
        <v>1799</v>
      </c>
      <c r="I2278">
        <v>1</v>
      </c>
      <c r="J2278" t="s">
        <v>1799</v>
      </c>
      <c r="K2278" t="s">
        <v>1799</v>
      </c>
      <c r="L2278" t="s">
        <v>1799</v>
      </c>
      <c r="M2278" t="s">
        <v>1799</v>
      </c>
      <c r="N2278" t="s">
        <v>1799</v>
      </c>
      <c r="O2278" s="184" t="str">
        <f>"["&amp;$C2278&amp;"]["&amp;$D2278&amp;"]["&amp;$F2278&amp;"]"</f>
        <v>[S05_BiomassInstallations][10][NumberUsingBiomass]</v>
      </c>
    </row>
    <row r="2279" spans="1:15" x14ac:dyDescent="0.3">
      <c r="A2279" t="s">
        <v>1793</v>
      </c>
      <c r="B2279" t="s">
        <v>2290</v>
      </c>
      <c r="C2279" t="s">
        <v>2293</v>
      </c>
      <c r="D2279">
        <v>11</v>
      </c>
      <c r="E2279" t="s">
        <v>1447</v>
      </c>
      <c r="F2279" t="s">
        <v>2295</v>
      </c>
      <c r="G2279" t="s">
        <v>1811</v>
      </c>
      <c r="H2279" t="s">
        <v>1799</v>
      </c>
      <c r="I2279">
        <v>8</v>
      </c>
      <c r="J2279" t="s">
        <v>1799</v>
      </c>
      <c r="K2279" t="s">
        <v>1799</v>
      </c>
      <c r="L2279" t="s">
        <v>1799</v>
      </c>
      <c r="M2279" t="s">
        <v>1799</v>
      </c>
      <c r="N2279" t="s">
        <v>1799</v>
      </c>
      <c r="O2279" s="184" t="str">
        <f>"["&amp;$C2279&amp;"]["&amp;$D2279&amp;"]["&amp;$F2279&amp;"]"</f>
        <v>[S05_BiomassInstallations][11][NumberUsingBiomass]</v>
      </c>
    </row>
    <row r="2280" spans="1:15" x14ac:dyDescent="0.3">
      <c r="A2280" t="s">
        <v>1793</v>
      </c>
      <c r="B2280" t="s">
        <v>2290</v>
      </c>
      <c r="C2280" t="s">
        <v>2293</v>
      </c>
      <c r="D2280">
        <v>12</v>
      </c>
      <c r="E2280" t="s">
        <v>1447</v>
      </c>
      <c r="F2280" t="s">
        <v>2295</v>
      </c>
      <c r="G2280" t="s">
        <v>1811</v>
      </c>
      <c r="H2280" t="s">
        <v>1799</v>
      </c>
      <c r="I2280">
        <v>4</v>
      </c>
      <c r="J2280" t="s">
        <v>1799</v>
      </c>
      <c r="K2280" t="s">
        <v>1799</v>
      </c>
      <c r="L2280" t="s">
        <v>1799</v>
      </c>
      <c r="M2280" t="s">
        <v>1799</v>
      </c>
      <c r="N2280" t="s">
        <v>1799</v>
      </c>
      <c r="O2280" s="184" t="str">
        <f>"["&amp;$C2280&amp;"]["&amp;$D2280&amp;"]["&amp;$F2280&amp;"]"</f>
        <v>[S05_BiomassInstallations][12][NumberUsingBiomass]</v>
      </c>
    </row>
    <row r="2281" spans="1:15" x14ac:dyDescent="0.3">
      <c r="A2281" t="s">
        <v>1793</v>
      </c>
      <c r="B2281" t="s">
        <v>2290</v>
      </c>
      <c r="C2281" t="s">
        <v>2293</v>
      </c>
      <c r="D2281">
        <v>13</v>
      </c>
      <c r="E2281" t="s">
        <v>1447</v>
      </c>
      <c r="F2281" t="s">
        <v>2295</v>
      </c>
      <c r="G2281" t="s">
        <v>1811</v>
      </c>
      <c r="H2281" t="s">
        <v>1799</v>
      </c>
      <c r="I2281">
        <v>60</v>
      </c>
      <c r="J2281" t="s">
        <v>1799</v>
      </c>
      <c r="K2281" t="s">
        <v>1799</v>
      </c>
      <c r="L2281" t="s">
        <v>1799</v>
      </c>
      <c r="M2281" t="s">
        <v>1799</v>
      </c>
      <c r="N2281" t="s">
        <v>1799</v>
      </c>
      <c r="O2281" s="184" t="str">
        <f>"["&amp;$C2281&amp;"]["&amp;$D2281&amp;"]["&amp;$F2281&amp;"]"</f>
        <v>[S05_BiomassInstallations][13][NumberUsingBiomass]</v>
      </c>
    </row>
    <row r="2282" spans="1:15" x14ac:dyDescent="0.3">
      <c r="A2282" t="s">
        <v>1793</v>
      </c>
      <c r="B2282" t="s">
        <v>2290</v>
      </c>
      <c r="C2282" t="s">
        <v>2293</v>
      </c>
      <c r="D2282">
        <v>14</v>
      </c>
      <c r="E2282" t="s">
        <v>1447</v>
      </c>
      <c r="F2282" t="s">
        <v>2295</v>
      </c>
      <c r="G2282" t="s">
        <v>1811</v>
      </c>
      <c r="H2282" t="s">
        <v>1799</v>
      </c>
      <c r="I2282">
        <v>1</v>
      </c>
      <c r="J2282" t="s">
        <v>1799</v>
      </c>
      <c r="K2282" t="s">
        <v>1799</v>
      </c>
      <c r="L2282" t="s">
        <v>1799</v>
      </c>
      <c r="M2282" t="s">
        <v>1799</v>
      </c>
      <c r="N2282" t="s">
        <v>1799</v>
      </c>
      <c r="O2282" s="184" t="str">
        <f>"["&amp;$C2282&amp;"]["&amp;$D2282&amp;"]["&amp;$F2282&amp;"]"</f>
        <v>[S05_BiomassInstallations][14][NumberUsingBiomass]</v>
      </c>
    </row>
    <row r="2283" spans="1:15" x14ac:dyDescent="0.3">
      <c r="A2283" t="s">
        <v>1793</v>
      </c>
      <c r="B2283" t="s">
        <v>2290</v>
      </c>
      <c r="C2283" t="s">
        <v>2293</v>
      </c>
      <c r="D2283">
        <v>15</v>
      </c>
      <c r="E2283" t="s">
        <v>1447</v>
      </c>
      <c r="F2283" t="s">
        <v>2295</v>
      </c>
      <c r="G2283" t="s">
        <v>1811</v>
      </c>
      <c r="H2283" t="s">
        <v>1799</v>
      </c>
      <c r="I2283">
        <v>3</v>
      </c>
      <c r="J2283" t="s">
        <v>1799</v>
      </c>
      <c r="K2283" t="s">
        <v>1799</v>
      </c>
      <c r="L2283" t="s">
        <v>1799</v>
      </c>
      <c r="M2283" t="s">
        <v>1799</v>
      </c>
      <c r="N2283" t="s">
        <v>1799</v>
      </c>
      <c r="O2283" s="184" t="str">
        <f>"["&amp;$C2283&amp;"]["&amp;$D2283&amp;"]["&amp;$F2283&amp;"]"</f>
        <v>[S05_BiomassInstallations][15][NumberUsingBiomass]</v>
      </c>
    </row>
    <row r="2284" spans="1:15" x14ac:dyDescent="0.3">
      <c r="A2284" t="s">
        <v>1793</v>
      </c>
      <c r="B2284" t="s">
        <v>2290</v>
      </c>
      <c r="C2284" t="s">
        <v>2293</v>
      </c>
      <c r="D2284">
        <v>16</v>
      </c>
      <c r="E2284" t="s">
        <v>1447</v>
      </c>
      <c r="F2284" t="s">
        <v>2295</v>
      </c>
      <c r="G2284" t="s">
        <v>1811</v>
      </c>
      <c r="H2284" t="s">
        <v>1799</v>
      </c>
      <c r="I2284">
        <v>2</v>
      </c>
      <c r="J2284" t="s">
        <v>1799</v>
      </c>
      <c r="K2284" t="s">
        <v>1799</v>
      </c>
      <c r="L2284" t="s">
        <v>1799</v>
      </c>
      <c r="M2284" t="s">
        <v>1799</v>
      </c>
      <c r="N2284" t="s">
        <v>1799</v>
      </c>
      <c r="O2284" s="184" t="str">
        <f>"["&amp;$C2284&amp;"]["&amp;$D2284&amp;"]["&amp;$F2284&amp;"]"</f>
        <v>[S05_BiomassInstallations][16][NumberUsingBiomass]</v>
      </c>
    </row>
    <row r="2285" spans="1:15" x14ac:dyDescent="0.3">
      <c r="A2285" t="s">
        <v>1793</v>
      </c>
      <c r="B2285" t="s">
        <v>2290</v>
      </c>
      <c r="C2285" t="s">
        <v>2293</v>
      </c>
      <c r="D2285">
        <v>17</v>
      </c>
      <c r="E2285" t="s">
        <v>1447</v>
      </c>
      <c r="F2285" t="s">
        <v>2295</v>
      </c>
      <c r="G2285" t="s">
        <v>1811</v>
      </c>
      <c r="H2285" t="s">
        <v>1799</v>
      </c>
      <c r="I2285">
        <v>11</v>
      </c>
      <c r="J2285" t="s">
        <v>1799</v>
      </c>
      <c r="K2285" t="s">
        <v>1799</v>
      </c>
      <c r="L2285" t="s">
        <v>1799</v>
      </c>
      <c r="M2285" t="s">
        <v>1799</v>
      </c>
      <c r="N2285" t="s">
        <v>1799</v>
      </c>
      <c r="O2285" s="184" t="str">
        <f>"["&amp;$C2285&amp;"]["&amp;$D2285&amp;"]["&amp;$F2285&amp;"]"</f>
        <v>[S05_BiomassInstallations][17][NumberUsingBiomass]</v>
      </c>
    </row>
    <row r="2286" spans="1:15" x14ac:dyDescent="0.3">
      <c r="A2286" t="s">
        <v>1793</v>
      </c>
      <c r="B2286" t="s">
        <v>2290</v>
      </c>
      <c r="C2286" t="s">
        <v>2293</v>
      </c>
      <c r="D2286">
        <v>18</v>
      </c>
      <c r="E2286" t="s">
        <v>1447</v>
      </c>
      <c r="F2286" t="s">
        <v>2295</v>
      </c>
      <c r="G2286" t="s">
        <v>1811</v>
      </c>
      <c r="H2286" t="s">
        <v>1799</v>
      </c>
      <c r="I2286">
        <v>20</v>
      </c>
      <c r="J2286" t="s">
        <v>1799</v>
      </c>
      <c r="K2286" t="s">
        <v>1799</v>
      </c>
      <c r="L2286" t="s">
        <v>1799</v>
      </c>
      <c r="M2286" t="s">
        <v>1799</v>
      </c>
      <c r="N2286" t="s">
        <v>1799</v>
      </c>
      <c r="O2286" s="184" t="str">
        <f>"["&amp;$C2286&amp;"]["&amp;$D2286&amp;"]["&amp;$F2286&amp;"]"</f>
        <v>[S05_BiomassInstallations][18][NumberUsingBiomass]</v>
      </c>
    </row>
    <row r="2287" spans="1:15" x14ac:dyDescent="0.3">
      <c r="A2287" t="s">
        <v>1793</v>
      </c>
      <c r="B2287" t="s">
        <v>2290</v>
      </c>
      <c r="C2287" t="s">
        <v>2293</v>
      </c>
      <c r="D2287">
        <v>19</v>
      </c>
      <c r="E2287" t="s">
        <v>1447</v>
      </c>
      <c r="F2287" t="s">
        <v>2295</v>
      </c>
      <c r="G2287" t="s">
        <v>1811</v>
      </c>
      <c r="H2287" t="s">
        <v>1799</v>
      </c>
      <c r="I2287">
        <v>102</v>
      </c>
      <c r="J2287" t="s">
        <v>1799</v>
      </c>
      <c r="K2287" t="s">
        <v>1799</v>
      </c>
      <c r="L2287" t="s">
        <v>1799</v>
      </c>
      <c r="M2287" t="s">
        <v>1799</v>
      </c>
      <c r="N2287" t="s">
        <v>1799</v>
      </c>
      <c r="O2287" s="184" t="str">
        <f>"["&amp;$C2287&amp;"]["&amp;$D2287&amp;"]["&amp;$F2287&amp;"]"</f>
        <v>[S05_BiomassInstallations][19][NumberUsingBiomass]</v>
      </c>
    </row>
    <row r="2288" spans="1:15" x14ac:dyDescent="0.3">
      <c r="A2288" t="s">
        <v>1793</v>
      </c>
      <c r="B2288" t="s">
        <v>2290</v>
      </c>
      <c r="C2288" t="s">
        <v>2293</v>
      </c>
      <c r="D2288">
        <v>20</v>
      </c>
      <c r="E2288" t="s">
        <v>1447</v>
      </c>
      <c r="F2288" t="s">
        <v>2295</v>
      </c>
      <c r="G2288" t="s">
        <v>1811</v>
      </c>
      <c r="H2288" t="s">
        <v>1799</v>
      </c>
      <c r="I2288">
        <v>33</v>
      </c>
      <c r="J2288" t="s">
        <v>1799</v>
      </c>
      <c r="K2288" t="s">
        <v>1799</v>
      </c>
      <c r="L2288" t="s">
        <v>1799</v>
      </c>
      <c r="M2288" t="s">
        <v>1799</v>
      </c>
      <c r="N2288" t="s">
        <v>1799</v>
      </c>
      <c r="O2288" s="184" t="str">
        <f>"["&amp;$C2288&amp;"]["&amp;$D2288&amp;"]["&amp;$F2288&amp;"]"</f>
        <v>[S05_BiomassInstallations][20][NumberUsingBiomass]</v>
      </c>
    </row>
    <row r="2289" spans="1:15" x14ac:dyDescent="0.3">
      <c r="A2289" t="s">
        <v>1793</v>
      </c>
      <c r="B2289" t="s">
        <v>2290</v>
      </c>
      <c r="C2289" t="s">
        <v>2293</v>
      </c>
      <c r="D2289">
        <v>21</v>
      </c>
      <c r="E2289" t="s">
        <v>1447</v>
      </c>
      <c r="F2289" t="s">
        <v>2295</v>
      </c>
      <c r="G2289" t="s">
        <v>1811</v>
      </c>
      <c r="H2289" t="s">
        <v>1799</v>
      </c>
      <c r="I2289">
        <v>15</v>
      </c>
      <c r="J2289" t="s">
        <v>1799</v>
      </c>
      <c r="K2289" t="s">
        <v>1799</v>
      </c>
      <c r="L2289" t="s">
        <v>1799</v>
      </c>
      <c r="M2289" t="s">
        <v>1799</v>
      </c>
      <c r="N2289" t="s">
        <v>1799</v>
      </c>
      <c r="O2289" s="184" t="str">
        <f>"["&amp;$C2289&amp;"]["&amp;$D2289&amp;"]["&amp;$F2289&amp;"]"</f>
        <v>[S05_BiomassInstallations][21][NumberUsingBiomass]</v>
      </c>
    </row>
    <row r="2290" spans="1:15" x14ac:dyDescent="0.3">
      <c r="A2290" t="s">
        <v>1793</v>
      </c>
      <c r="B2290" t="s">
        <v>2290</v>
      </c>
      <c r="C2290" t="s">
        <v>2293</v>
      </c>
      <c r="D2290">
        <v>22</v>
      </c>
      <c r="E2290" t="s">
        <v>1447</v>
      </c>
      <c r="F2290" t="s">
        <v>2295</v>
      </c>
      <c r="G2290" t="s">
        <v>1811</v>
      </c>
      <c r="H2290" t="s">
        <v>1799</v>
      </c>
      <c r="I2290">
        <v>1</v>
      </c>
      <c r="J2290" t="s">
        <v>1799</v>
      </c>
      <c r="K2290" t="s">
        <v>1799</v>
      </c>
      <c r="L2290" t="s">
        <v>1799</v>
      </c>
      <c r="M2290" t="s">
        <v>1799</v>
      </c>
      <c r="N2290" t="s">
        <v>1799</v>
      </c>
      <c r="O2290" s="184" t="str">
        <f>"["&amp;$C2290&amp;"]["&amp;$D2290&amp;"]["&amp;$F2290&amp;"]"</f>
        <v>[S05_BiomassInstallations][22][NumberUsingBiomass]</v>
      </c>
    </row>
    <row r="2291" spans="1:15" x14ac:dyDescent="0.3">
      <c r="A2291" t="s">
        <v>1793</v>
      </c>
      <c r="B2291" t="s">
        <v>2290</v>
      </c>
      <c r="C2291" t="s">
        <v>2293</v>
      </c>
      <c r="D2291">
        <v>23</v>
      </c>
      <c r="E2291" t="s">
        <v>1447</v>
      </c>
      <c r="F2291" t="s">
        <v>2295</v>
      </c>
      <c r="G2291" t="s">
        <v>1811</v>
      </c>
      <c r="H2291" t="s">
        <v>1799</v>
      </c>
      <c r="I2291">
        <v>1</v>
      </c>
      <c r="J2291" t="s">
        <v>1799</v>
      </c>
      <c r="K2291" t="s">
        <v>1799</v>
      </c>
      <c r="L2291" t="s">
        <v>1799</v>
      </c>
      <c r="M2291" t="s">
        <v>1799</v>
      </c>
      <c r="N2291" t="s">
        <v>1799</v>
      </c>
      <c r="O2291" s="184" t="str">
        <f>"["&amp;$C2291&amp;"]["&amp;$D2291&amp;"]["&amp;$F2291&amp;"]"</f>
        <v>[S05_BiomassInstallations][23][NumberUsingBiomass]</v>
      </c>
    </row>
    <row r="2292" spans="1:15" x14ac:dyDescent="0.3">
      <c r="A2292" t="s">
        <v>1793</v>
      </c>
      <c r="B2292" t="s">
        <v>2290</v>
      </c>
      <c r="C2292" t="s">
        <v>2293</v>
      </c>
      <c r="D2292">
        <v>24</v>
      </c>
      <c r="E2292" t="s">
        <v>1447</v>
      </c>
      <c r="F2292" t="s">
        <v>2295</v>
      </c>
      <c r="G2292" t="s">
        <v>1811</v>
      </c>
      <c r="H2292" t="s">
        <v>1799</v>
      </c>
      <c r="I2292">
        <v>1</v>
      </c>
      <c r="J2292" t="s">
        <v>1799</v>
      </c>
      <c r="K2292" t="s">
        <v>1799</v>
      </c>
      <c r="L2292" t="s">
        <v>1799</v>
      </c>
      <c r="M2292" t="s">
        <v>1799</v>
      </c>
      <c r="N2292" t="s">
        <v>1799</v>
      </c>
      <c r="O2292" s="184" t="str">
        <f>"["&amp;$C2292&amp;"]["&amp;$D2292&amp;"]["&amp;$F2292&amp;"]"</f>
        <v>[S05_BiomassInstallations][24][NumberUsingBiomass]</v>
      </c>
    </row>
    <row r="2293" spans="1:15" x14ac:dyDescent="0.3">
      <c r="A2293" t="s">
        <v>1793</v>
      </c>
      <c r="B2293" t="s">
        <v>2290</v>
      </c>
      <c r="C2293" t="s">
        <v>2293</v>
      </c>
      <c r="D2293">
        <v>25</v>
      </c>
      <c r="E2293" t="s">
        <v>1447</v>
      </c>
      <c r="F2293" t="s">
        <v>2295</v>
      </c>
      <c r="G2293" t="s">
        <v>1811</v>
      </c>
      <c r="H2293" t="s">
        <v>1799</v>
      </c>
      <c r="I2293">
        <v>4</v>
      </c>
      <c r="J2293" t="s">
        <v>1799</v>
      </c>
      <c r="K2293" t="s">
        <v>1799</v>
      </c>
      <c r="L2293" t="s">
        <v>1799</v>
      </c>
      <c r="M2293" t="s">
        <v>1799</v>
      </c>
      <c r="N2293" t="s">
        <v>1799</v>
      </c>
      <c r="O2293" s="184" t="str">
        <f>"["&amp;$C2293&amp;"]["&amp;$D2293&amp;"]["&amp;$F2293&amp;"]"</f>
        <v>[S05_BiomassInstallations][25][NumberUsingBiomass]</v>
      </c>
    </row>
    <row r="2294" spans="1:15" x14ac:dyDescent="0.3">
      <c r="A2294" t="s">
        <v>1793</v>
      </c>
      <c r="B2294" t="s">
        <v>2290</v>
      </c>
      <c r="C2294" t="s">
        <v>2293</v>
      </c>
      <c r="D2294">
        <v>26</v>
      </c>
      <c r="E2294" t="s">
        <v>1447</v>
      </c>
      <c r="F2294" t="s">
        <v>2295</v>
      </c>
      <c r="G2294" t="s">
        <v>1811</v>
      </c>
      <c r="H2294" t="s">
        <v>1799</v>
      </c>
      <c r="I2294">
        <v>4</v>
      </c>
      <c r="J2294" t="s">
        <v>1799</v>
      </c>
      <c r="K2294" t="s">
        <v>1799</v>
      </c>
      <c r="L2294" t="s">
        <v>1799</v>
      </c>
      <c r="M2294" t="s">
        <v>1799</v>
      </c>
      <c r="N2294" t="s">
        <v>1799</v>
      </c>
      <c r="O2294" s="184" t="str">
        <f>"["&amp;$C2294&amp;"]["&amp;$D2294&amp;"]["&amp;$F2294&amp;"]"</f>
        <v>[S05_BiomassInstallations][26][NumberUsingBiomass]</v>
      </c>
    </row>
    <row r="2295" spans="1:15" x14ac:dyDescent="0.3">
      <c r="A2295" t="s">
        <v>1793</v>
      </c>
      <c r="B2295" t="s">
        <v>2290</v>
      </c>
      <c r="C2295" t="s">
        <v>2293</v>
      </c>
      <c r="D2295">
        <v>1</v>
      </c>
      <c r="E2295" t="s">
        <v>1447</v>
      </c>
      <c r="F2295" t="s">
        <v>2296</v>
      </c>
      <c r="G2295" t="s">
        <v>1892</v>
      </c>
      <c r="H2295" t="s">
        <v>1799</v>
      </c>
      <c r="I2295" t="s">
        <v>1799</v>
      </c>
      <c r="J2295">
        <v>4979.2277999999997</v>
      </c>
      <c r="K2295" t="s">
        <v>1799</v>
      </c>
      <c r="L2295" t="s">
        <v>1799</v>
      </c>
      <c r="M2295" t="s">
        <v>1799</v>
      </c>
      <c r="N2295" t="s">
        <v>1799</v>
      </c>
      <c r="O2295" s="184" t="str">
        <f>"["&amp;$C2295&amp;"]["&amp;$D2295&amp;"]["&amp;$F2295&amp;"]"</f>
        <v>[S05_BiomassInstallations][1][EmissionsBiomassSustainabilitySatisfied]</v>
      </c>
    </row>
    <row r="2296" spans="1:15" x14ac:dyDescent="0.3">
      <c r="A2296" t="s">
        <v>1793</v>
      </c>
      <c r="B2296" t="s">
        <v>2290</v>
      </c>
      <c r="C2296" t="s">
        <v>2293</v>
      </c>
      <c r="D2296">
        <v>2</v>
      </c>
      <c r="E2296" t="s">
        <v>1447</v>
      </c>
      <c r="F2296" t="s">
        <v>2296</v>
      </c>
      <c r="G2296" t="s">
        <v>1892</v>
      </c>
      <c r="H2296" t="s">
        <v>1799</v>
      </c>
      <c r="I2296" t="s">
        <v>1799</v>
      </c>
      <c r="J2296">
        <v>285.79199999999997</v>
      </c>
      <c r="K2296" t="s">
        <v>1799</v>
      </c>
      <c r="L2296" t="s">
        <v>1799</v>
      </c>
      <c r="M2296" t="s">
        <v>1799</v>
      </c>
      <c r="N2296" t="s">
        <v>1799</v>
      </c>
      <c r="O2296" s="184" t="str">
        <f>"["&amp;$C2296&amp;"]["&amp;$D2296&amp;"]["&amp;$F2296&amp;"]"</f>
        <v>[S05_BiomassInstallations][2][EmissionsBiomassSustainabilitySatisfied]</v>
      </c>
    </row>
    <row r="2297" spans="1:15" x14ac:dyDescent="0.3">
      <c r="A2297" t="s">
        <v>1793</v>
      </c>
      <c r="B2297" t="s">
        <v>2290</v>
      </c>
      <c r="C2297" t="s">
        <v>2293</v>
      </c>
      <c r="D2297">
        <v>3</v>
      </c>
      <c r="E2297" t="s">
        <v>1447</v>
      </c>
      <c r="F2297" t="s">
        <v>2296</v>
      </c>
      <c r="G2297" t="s">
        <v>1892</v>
      </c>
      <c r="H2297" t="s">
        <v>1799</v>
      </c>
      <c r="I2297" t="s">
        <v>1799</v>
      </c>
      <c r="J2297">
        <v>907.19484996547203</v>
      </c>
      <c r="K2297" t="s">
        <v>1799</v>
      </c>
      <c r="L2297" t="s">
        <v>1799</v>
      </c>
      <c r="M2297" t="s">
        <v>1799</v>
      </c>
      <c r="N2297" t="s">
        <v>1799</v>
      </c>
      <c r="O2297" s="184" t="str">
        <f>"["&amp;$C2297&amp;"]["&amp;$D2297&amp;"]["&amp;$F2297&amp;"]"</f>
        <v>[S05_BiomassInstallations][3][EmissionsBiomassSustainabilitySatisfied]</v>
      </c>
    </row>
    <row r="2298" spans="1:15" x14ac:dyDescent="0.3">
      <c r="A2298" t="s">
        <v>1793</v>
      </c>
      <c r="B2298" t="s">
        <v>2290</v>
      </c>
      <c r="C2298" t="s">
        <v>2293</v>
      </c>
      <c r="D2298">
        <v>4</v>
      </c>
      <c r="E2298" t="s">
        <v>1447</v>
      </c>
      <c r="F2298" t="s">
        <v>2296</v>
      </c>
      <c r="G2298" t="s">
        <v>1892</v>
      </c>
      <c r="H2298" t="s">
        <v>1799</v>
      </c>
      <c r="I2298" t="s">
        <v>1799</v>
      </c>
      <c r="J2298">
        <v>267.75875282537601</v>
      </c>
      <c r="K2298" t="s">
        <v>1799</v>
      </c>
      <c r="L2298" t="s">
        <v>1799</v>
      </c>
      <c r="M2298" t="s">
        <v>1799</v>
      </c>
      <c r="N2298" t="s">
        <v>1799</v>
      </c>
      <c r="O2298" s="184" t="str">
        <f>"["&amp;$C2298&amp;"]["&amp;$D2298&amp;"]["&amp;$F2298&amp;"]"</f>
        <v>[S05_BiomassInstallations][4][EmissionsBiomassSustainabilitySatisfied]</v>
      </c>
    </row>
    <row r="2299" spans="1:15" x14ac:dyDescent="0.3">
      <c r="A2299" t="s">
        <v>1793</v>
      </c>
      <c r="B2299" t="s">
        <v>2290</v>
      </c>
      <c r="C2299" t="s">
        <v>2293</v>
      </c>
      <c r="D2299">
        <v>5</v>
      </c>
      <c r="E2299" t="s">
        <v>1447</v>
      </c>
      <c r="F2299" t="s">
        <v>2296</v>
      </c>
      <c r="G2299" t="s">
        <v>1892</v>
      </c>
      <c r="H2299" t="s">
        <v>1799</v>
      </c>
      <c r="I2299" t="s">
        <v>1799</v>
      </c>
      <c r="J2299">
        <v>432.8993352</v>
      </c>
      <c r="K2299" t="s">
        <v>1799</v>
      </c>
      <c r="L2299" t="s">
        <v>1799</v>
      </c>
      <c r="M2299" t="s">
        <v>1799</v>
      </c>
      <c r="N2299" t="s">
        <v>1799</v>
      </c>
      <c r="O2299" s="184" t="str">
        <f>"["&amp;$C2299&amp;"]["&amp;$D2299&amp;"]["&amp;$F2299&amp;"]"</f>
        <v>[S05_BiomassInstallations][5][EmissionsBiomassSustainabilitySatisfied]</v>
      </c>
    </row>
    <row r="2300" spans="1:15" x14ac:dyDescent="0.3">
      <c r="A2300" t="s">
        <v>1793</v>
      </c>
      <c r="B2300" t="s">
        <v>2290</v>
      </c>
      <c r="C2300" t="s">
        <v>2293</v>
      </c>
      <c r="D2300">
        <v>6</v>
      </c>
      <c r="E2300" t="s">
        <v>1447</v>
      </c>
      <c r="F2300" t="s">
        <v>2296</v>
      </c>
      <c r="G2300" t="s">
        <v>1892</v>
      </c>
      <c r="H2300" t="s">
        <v>1799</v>
      </c>
      <c r="I2300" t="s">
        <v>1799</v>
      </c>
      <c r="J2300">
        <v>27882.4608307975</v>
      </c>
      <c r="K2300" t="s">
        <v>1799</v>
      </c>
      <c r="L2300" t="s">
        <v>1799</v>
      </c>
      <c r="M2300" t="s">
        <v>1799</v>
      </c>
      <c r="N2300" t="s">
        <v>1799</v>
      </c>
      <c r="O2300" s="184" t="str">
        <f>"["&amp;$C2300&amp;"]["&amp;$D2300&amp;"]["&amp;$F2300&amp;"]"</f>
        <v>[S05_BiomassInstallations][6][EmissionsBiomassSustainabilitySatisfied]</v>
      </c>
    </row>
    <row r="2301" spans="1:15" x14ac:dyDescent="0.3">
      <c r="A2301" t="s">
        <v>1793</v>
      </c>
      <c r="B2301" t="s">
        <v>2290</v>
      </c>
      <c r="C2301" t="s">
        <v>2293</v>
      </c>
      <c r="D2301">
        <v>7</v>
      </c>
      <c r="E2301" t="s">
        <v>1447</v>
      </c>
      <c r="F2301" t="s">
        <v>2296</v>
      </c>
      <c r="G2301" t="s">
        <v>1892</v>
      </c>
      <c r="H2301" t="s">
        <v>1799</v>
      </c>
      <c r="I2301" t="s">
        <v>1799</v>
      </c>
      <c r="J2301">
        <v>214820.24782703101</v>
      </c>
      <c r="K2301" t="s">
        <v>1799</v>
      </c>
      <c r="L2301" t="s">
        <v>1799</v>
      </c>
      <c r="M2301" t="s">
        <v>1799</v>
      </c>
      <c r="N2301" t="s">
        <v>1799</v>
      </c>
      <c r="O2301" s="184" t="str">
        <f>"["&amp;$C2301&amp;"]["&amp;$D2301&amp;"]["&amp;$F2301&amp;"]"</f>
        <v>[S05_BiomassInstallations][7][EmissionsBiomassSustainabilitySatisfied]</v>
      </c>
    </row>
    <row r="2302" spans="1:15" x14ac:dyDescent="0.3">
      <c r="A2302" t="s">
        <v>1793</v>
      </c>
      <c r="B2302" t="s">
        <v>2290</v>
      </c>
      <c r="C2302" t="s">
        <v>2293</v>
      </c>
      <c r="D2302">
        <v>8</v>
      </c>
      <c r="E2302" t="s">
        <v>1447</v>
      </c>
      <c r="F2302" t="s">
        <v>2296</v>
      </c>
      <c r="G2302" t="s">
        <v>1892</v>
      </c>
      <c r="H2302" t="s">
        <v>1799</v>
      </c>
      <c r="I2302" t="s">
        <v>1799</v>
      </c>
      <c r="J2302">
        <v>1690451.97254474</v>
      </c>
      <c r="K2302" t="s">
        <v>1799</v>
      </c>
      <c r="L2302" t="s">
        <v>1799</v>
      </c>
      <c r="M2302" t="s">
        <v>1799</v>
      </c>
      <c r="N2302" t="s">
        <v>1799</v>
      </c>
      <c r="O2302" s="184" t="str">
        <f>"["&amp;$C2302&amp;"]["&amp;$D2302&amp;"]["&amp;$F2302&amp;"]"</f>
        <v>[S05_BiomassInstallations][8][EmissionsBiomassSustainabilitySatisfied]</v>
      </c>
    </row>
    <row r="2303" spans="1:15" x14ac:dyDescent="0.3">
      <c r="A2303" t="s">
        <v>1793</v>
      </c>
      <c r="B2303" t="s">
        <v>2290</v>
      </c>
      <c r="C2303" t="s">
        <v>2293</v>
      </c>
      <c r="D2303">
        <v>9</v>
      </c>
      <c r="E2303" t="s">
        <v>1447</v>
      </c>
      <c r="F2303" t="s">
        <v>2296</v>
      </c>
      <c r="G2303" t="s">
        <v>1892</v>
      </c>
      <c r="H2303" t="s">
        <v>1799</v>
      </c>
      <c r="I2303" t="s">
        <v>1799</v>
      </c>
      <c r="J2303">
        <v>20340.900319743701</v>
      </c>
      <c r="K2303" t="s">
        <v>1799</v>
      </c>
      <c r="L2303" t="s">
        <v>1799</v>
      </c>
      <c r="M2303" t="s">
        <v>1799</v>
      </c>
      <c r="N2303" t="s">
        <v>1799</v>
      </c>
      <c r="O2303" s="184" t="str">
        <f>"["&amp;$C2303&amp;"]["&amp;$D2303&amp;"]["&amp;$F2303&amp;"]"</f>
        <v>[S05_BiomassInstallations][9][EmissionsBiomassSustainabilitySatisfied]</v>
      </c>
    </row>
    <row r="2304" spans="1:15" x14ac:dyDescent="0.3">
      <c r="A2304" t="s">
        <v>1793</v>
      </c>
      <c r="B2304" t="s">
        <v>2290</v>
      </c>
      <c r="C2304" t="s">
        <v>2293</v>
      </c>
      <c r="D2304">
        <v>10</v>
      </c>
      <c r="E2304" t="s">
        <v>1447</v>
      </c>
      <c r="F2304" t="s">
        <v>2296</v>
      </c>
      <c r="G2304" t="s">
        <v>1892</v>
      </c>
      <c r="H2304" t="s">
        <v>1799</v>
      </c>
      <c r="I2304" t="s">
        <v>1799</v>
      </c>
      <c r="J2304">
        <v>15428.9224243668</v>
      </c>
      <c r="K2304" t="s">
        <v>1799</v>
      </c>
      <c r="L2304" t="s">
        <v>1799</v>
      </c>
      <c r="M2304" t="s">
        <v>1799</v>
      </c>
      <c r="N2304" t="s">
        <v>1799</v>
      </c>
      <c r="O2304" s="184" t="str">
        <f>"["&amp;$C2304&amp;"]["&amp;$D2304&amp;"]["&amp;$F2304&amp;"]"</f>
        <v>[S05_BiomassInstallations][10][EmissionsBiomassSustainabilitySatisfied]</v>
      </c>
    </row>
    <row r="2305" spans="1:15" x14ac:dyDescent="0.3">
      <c r="A2305" t="s">
        <v>1793</v>
      </c>
      <c r="B2305" t="s">
        <v>2290</v>
      </c>
      <c r="C2305" t="s">
        <v>2293</v>
      </c>
      <c r="D2305">
        <v>11</v>
      </c>
      <c r="E2305" t="s">
        <v>1447</v>
      </c>
      <c r="F2305" t="s">
        <v>2296</v>
      </c>
      <c r="G2305" t="s">
        <v>1892</v>
      </c>
      <c r="H2305" t="s">
        <v>1799</v>
      </c>
      <c r="I2305" t="s">
        <v>1799</v>
      </c>
      <c r="J2305">
        <v>341.69667407639997</v>
      </c>
      <c r="K2305" t="s">
        <v>1799</v>
      </c>
      <c r="L2305" t="s">
        <v>1799</v>
      </c>
      <c r="M2305" t="s">
        <v>1799</v>
      </c>
      <c r="N2305" t="s">
        <v>1799</v>
      </c>
      <c r="O2305" s="184" t="str">
        <f>"["&amp;$C2305&amp;"]["&amp;$D2305&amp;"]["&amp;$F2305&amp;"]"</f>
        <v>[S05_BiomassInstallations][11][EmissionsBiomassSustainabilitySatisfied]</v>
      </c>
    </row>
    <row r="2306" spans="1:15" x14ac:dyDescent="0.3">
      <c r="A2306" t="s">
        <v>1793</v>
      </c>
      <c r="B2306" t="s">
        <v>2290</v>
      </c>
      <c r="C2306" t="s">
        <v>2293</v>
      </c>
      <c r="D2306">
        <v>12</v>
      </c>
      <c r="E2306" t="s">
        <v>1447</v>
      </c>
      <c r="F2306" t="s">
        <v>2296</v>
      </c>
      <c r="G2306" t="s">
        <v>1892</v>
      </c>
      <c r="H2306" t="s">
        <v>1799</v>
      </c>
      <c r="I2306" t="s">
        <v>1799</v>
      </c>
      <c r="J2306">
        <v>969.318402288686</v>
      </c>
      <c r="K2306" t="s">
        <v>1799</v>
      </c>
      <c r="L2306" t="s">
        <v>1799</v>
      </c>
      <c r="M2306" t="s">
        <v>1799</v>
      </c>
      <c r="N2306" t="s">
        <v>1799</v>
      </c>
      <c r="O2306" s="184" t="str">
        <f>"["&amp;$C2306&amp;"]["&amp;$D2306&amp;"]["&amp;$F2306&amp;"]"</f>
        <v>[S05_BiomassInstallations][12][EmissionsBiomassSustainabilitySatisfied]</v>
      </c>
    </row>
    <row r="2307" spans="1:15" x14ac:dyDescent="0.3">
      <c r="A2307" t="s">
        <v>1793</v>
      </c>
      <c r="B2307" t="s">
        <v>2290</v>
      </c>
      <c r="C2307" t="s">
        <v>2293</v>
      </c>
      <c r="D2307">
        <v>13</v>
      </c>
      <c r="E2307" t="s">
        <v>1447</v>
      </c>
      <c r="F2307" t="s">
        <v>2296</v>
      </c>
      <c r="G2307" t="s">
        <v>1892</v>
      </c>
      <c r="H2307" t="s">
        <v>1799</v>
      </c>
      <c r="I2307" t="s">
        <v>1799</v>
      </c>
      <c r="J2307">
        <v>429062.22445203498</v>
      </c>
      <c r="K2307" t="s">
        <v>1799</v>
      </c>
      <c r="L2307" t="s">
        <v>1799</v>
      </c>
      <c r="M2307" t="s">
        <v>1799</v>
      </c>
      <c r="N2307" t="s">
        <v>1799</v>
      </c>
      <c r="O2307" s="184" t="str">
        <f>"["&amp;$C2307&amp;"]["&amp;$D2307&amp;"]["&amp;$F2307&amp;"]"</f>
        <v>[S05_BiomassInstallations][13][EmissionsBiomassSustainabilitySatisfied]</v>
      </c>
    </row>
    <row r="2308" spans="1:15" x14ac:dyDescent="0.3">
      <c r="A2308" t="s">
        <v>1793</v>
      </c>
      <c r="B2308" t="s">
        <v>2290</v>
      </c>
      <c r="C2308" t="s">
        <v>2293</v>
      </c>
      <c r="D2308">
        <v>14</v>
      </c>
      <c r="E2308" t="s">
        <v>1447</v>
      </c>
      <c r="F2308" t="s">
        <v>2296</v>
      </c>
      <c r="G2308" t="s">
        <v>1892</v>
      </c>
      <c r="H2308" t="s">
        <v>1799</v>
      </c>
      <c r="I2308" t="s">
        <v>1799</v>
      </c>
      <c r="J2308">
        <v>5787.0163370239998</v>
      </c>
      <c r="K2308" t="s">
        <v>1799</v>
      </c>
      <c r="L2308" t="s">
        <v>1799</v>
      </c>
      <c r="M2308" t="s">
        <v>1799</v>
      </c>
      <c r="N2308" t="s">
        <v>1799</v>
      </c>
      <c r="O2308" s="184" t="str">
        <f>"["&amp;$C2308&amp;"]["&amp;$D2308&amp;"]["&amp;$F2308&amp;"]"</f>
        <v>[S05_BiomassInstallations][14][EmissionsBiomassSustainabilitySatisfied]</v>
      </c>
    </row>
    <row r="2309" spans="1:15" x14ac:dyDescent="0.3">
      <c r="A2309" t="s">
        <v>1793</v>
      </c>
      <c r="B2309" t="s">
        <v>2290</v>
      </c>
      <c r="C2309" t="s">
        <v>2293</v>
      </c>
      <c r="D2309">
        <v>15</v>
      </c>
      <c r="E2309" t="s">
        <v>1447</v>
      </c>
      <c r="F2309" t="s">
        <v>2296</v>
      </c>
      <c r="G2309" t="s">
        <v>1892</v>
      </c>
      <c r="H2309" t="s">
        <v>1799</v>
      </c>
      <c r="I2309" t="s">
        <v>1799</v>
      </c>
      <c r="J2309">
        <v>1014741.83266609</v>
      </c>
      <c r="K2309" t="s">
        <v>1799</v>
      </c>
      <c r="L2309" t="s">
        <v>1799</v>
      </c>
      <c r="M2309" t="s">
        <v>1799</v>
      </c>
      <c r="N2309" t="s">
        <v>1799</v>
      </c>
      <c r="O2309" s="184" t="str">
        <f>"["&amp;$C2309&amp;"]["&amp;$D2309&amp;"]["&amp;$F2309&amp;"]"</f>
        <v>[S05_BiomassInstallations][15][EmissionsBiomassSustainabilitySatisfied]</v>
      </c>
    </row>
    <row r="2310" spans="1:15" x14ac:dyDescent="0.3">
      <c r="A2310" t="s">
        <v>1793</v>
      </c>
      <c r="B2310" t="s">
        <v>2290</v>
      </c>
      <c r="C2310" t="s">
        <v>2293</v>
      </c>
      <c r="D2310">
        <v>16</v>
      </c>
      <c r="E2310" t="s">
        <v>1447</v>
      </c>
      <c r="F2310" t="s">
        <v>2296</v>
      </c>
      <c r="G2310" t="s">
        <v>1892</v>
      </c>
      <c r="H2310" t="s">
        <v>1799</v>
      </c>
      <c r="I2310" t="s">
        <v>1799</v>
      </c>
      <c r="J2310">
        <v>2273026.3128473298</v>
      </c>
      <c r="K2310" t="s">
        <v>1799</v>
      </c>
      <c r="L2310" t="s">
        <v>1799</v>
      </c>
      <c r="M2310" t="s">
        <v>1799</v>
      </c>
      <c r="N2310" t="s">
        <v>1799</v>
      </c>
      <c r="O2310" s="184" t="str">
        <f>"["&amp;$C2310&amp;"]["&amp;$D2310&amp;"]["&amp;$F2310&amp;"]"</f>
        <v>[S05_BiomassInstallations][16][EmissionsBiomassSustainabilitySatisfied]</v>
      </c>
    </row>
    <row r="2311" spans="1:15" x14ac:dyDescent="0.3">
      <c r="A2311" t="s">
        <v>1793</v>
      </c>
      <c r="B2311" t="s">
        <v>2290</v>
      </c>
      <c r="C2311" t="s">
        <v>2293</v>
      </c>
      <c r="D2311">
        <v>17</v>
      </c>
      <c r="E2311" t="s">
        <v>1447</v>
      </c>
      <c r="F2311" t="s">
        <v>2296</v>
      </c>
      <c r="G2311" t="s">
        <v>1892</v>
      </c>
      <c r="H2311" t="s">
        <v>1799</v>
      </c>
      <c r="I2311" t="s">
        <v>1799</v>
      </c>
      <c r="J2311">
        <v>303804.82537887298</v>
      </c>
      <c r="K2311" t="s">
        <v>1799</v>
      </c>
      <c r="L2311" t="s">
        <v>1799</v>
      </c>
      <c r="M2311" t="s">
        <v>1799</v>
      </c>
      <c r="N2311" t="s">
        <v>1799</v>
      </c>
      <c r="O2311" s="184" t="str">
        <f>"["&amp;$C2311&amp;"]["&amp;$D2311&amp;"]["&amp;$F2311&amp;"]"</f>
        <v>[S05_BiomassInstallations][17][EmissionsBiomassSustainabilitySatisfied]</v>
      </c>
    </row>
    <row r="2312" spans="1:15" x14ac:dyDescent="0.3">
      <c r="A2312" t="s">
        <v>1793</v>
      </c>
      <c r="B2312" t="s">
        <v>2290</v>
      </c>
      <c r="C2312" t="s">
        <v>2293</v>
      </c>
      <c r="D2312">
        <v>18</v>
      </c>
      <c r="E2312" t="s">
        <v>1447</v>
      </c>
      <c r="F2312" t="s">
        <v>2296</v>
      </c>
      <c r="G2312" t="s">
        <v>1892</v>
      </c>
      <c r="H2312" t="s">
        <v>1799</v>
      </c>
      <c r="I2312" t="s">
        <v>1799</v>
      </c>
      <c r="J2312">
        <v>585697.47278865101</v>
      </c>
      <c r="K2312" t="s">
        <v>1799</v>
      </c>
      <c r="L2312" t="s">
        <v>1799</v>
      </c>
      <c r="M2312" t="s">
        <v>1799</v>
      </c>
      <c r="N2312" t="s">
        <v>1799</v>
      </c>
      <c r="O2312" s="184" t="str">
        <f>"["&amp;$C2312&amp;"]["&amp;$D2312&amp;"]["&amp;$F2312&amp;"]"</f>
        <v>[S05_BiomassInstallations][18][EmissionsBiomassSustainabilitySatisfied]</v>
      </c>
    </row>
    <row r="2313" spans="1:15" x14ac:dyDescent="0.3">
      <c r="A2313" t="s">
        <v>1793</v>
      </c>
      <c r="B2313" t="s">
        <v>2290</v>
      </c>
      <c r="C2313" t="s">
        <v>2293</v>
      </c>
      <c r="D2313">
        <v>19</v>
      </c>
      <c r="E2313" t="s">
        <v>1447</v>
      </c>
      <c r="F2313" t="s">
        <v>2296</v>
      </c>
      <c r="G2313" t="s">
        <v>1892</v>
      </c>
      <c r="H2313" t="s">
        <v>1799</v>
      </c>
      <c r="I2313" t="s">
        <v>1799</v>
      </c>
      <c r="J2313">
        <v>6585733.8659786396</v>
      </c>
      <c r="K2313" t="s">
        <v>1799</v>
      </c>
      <c r="L2313" t="s">
        <v>1799</v>
      </c>
      <c r="M2313" t="s">
        <v>1799</v>
      </c>
      <c r="N2313" t="s">
        <v>1799</v>
      </c>
      <c r="O2313" s="184" t="str">
        <f>"["&amp;$C2313&amp;"]["&amp;$D2313&amp;"]["&amp;$F2313&amp;"]"</f>
        <v>[S05_BiomassInstallations][19][EmissionsBiomassSustainabilitySatisfied]</v>
      </c>
    </row>
    <row r="2314" spans="1:15" x14ac:dyDescent="0.3">
      <c r="A2314" t="s">
        <v>1793</v>
      </c>
      <c r="B2314" t="s">
        <v>2290</v>
      </c>
      <c r="C2314" t="s">
        <v>2293</v>
      </c>
      <c r="D2314">
        <v>20</v>
      </c>
      <c r="E2314" t="s">
        <v>1447</v>
      </c>
      <c r="F2314" t="s">
        <v>2296</v>
      </c>
      <c r="G2314" t="s">
        <v>1892</v>
      </c>
      <c r="H2314" t="s">
        <v>1799</v>
      </c>
      <c r="I2314" t="s">
        <v>1799</v>
      </c>
      <c r="J2314">
        <v>1147018.1019168</v>
      </c>
      <c r="K2314" t="s">
        <v>1799</v>
      </c>
      <c r="L2314" t="s">
        <v>1799</v>
      </c>
      <c r="M2314" t="s">
        <v>1799</v>
      </c>
      <c r="N2314" t="s">
        <v>1799</v>
      </c>
      <c r="O2314" s="184" t="str">
        <f>"["&amp;$C2314&amp;"]["&amp;$D2314&amp;"]["&amp;$F2314&amp;"]"</f>
        <v>[S05_BiomassInstallations][20][EmissionsBiomassSustainabilitySatisfied]</v>
      </c>
    </row>
    <row r="2315" spans="1:15" x14ac:dyDescent="0.3">
      <c r="A2315" t="s">
        <v>1793</v>
      </c>
      <c r="B2315" t="s">
        <v>2290</v>
      </c>
      <c r="C2315" t="s">
        <v>2293</v>
      </c>
      <c r="D2315">
        <v>21</v>
      </c>
      <c r="E2315" t="s">
        <v>1447</v>
      </c>
      <c r="F2315" t="s">
        <v>2296</v>
      </c>
      <c r="G2315" t="s">
        <v>1892</v>
      </c>
      <c r="H2315" t="s">
        <v>1799</v>
      </c>
      <c r="I2315" t="s">
        <v>1799</v>
      </c>
      <c r="J2315">
        <v>916475.71675676794</v>
      </c>
      <c r="K2315" t="s">
        <v>1799</v>
      </c>
      <c r="L2315" t="s">
        <v>1799</v>
      </c>
      <c r="M2315" t="s">
        <v>1799</v>
      </c>
      <c r="N2315" t="s">
        <v>1799</v>
      </c>
      <c r="O2315" s="184" t="str">
        <f>"["&amp;$C2315&amp;"]["&amp;$D2315&amp;"]["&amp;$F2315&amp;"]"</f>
        <v>[S05_BiomassInstallations][21][EmissionsBiomassSustainabilitySatisfied]</v>
      </c>
    </row>
    <row r="2316" spans="1:15" x14ac:dyDescent="0.3">
      <c r="A2316" t="s">
        <v>1793</v>
      </c>
      <c r="B2316" t="s">
        <v>2290</v>
      </c>
      <c r="C2316" t="s">
        <v>2293</v>
      </c>
      <c r="D2316">
        <v>22</v>
      </c>
      <c r="E2316" t="s">
        <v>1447</v>
      </c>
      <c r="F2316" t="s">
        <v>2296</v>
      </c>
      <c r="G2316" t="s">
        <v>1892</v>
      </c>
      <c r="H2316" t="s">
        <v>1799</v>
      </c>
      <c r="I2316" t="s">
        <v>1799</v>
      </c>
      <c r="J2316">
        <v>118.541157504</v>
      </c>
      <c r="K2316" t="s">
        <v>1799</v>
      </c>
      <c r="L2316" t="s">
        <v>1799</v>
      </c>
      <c r="M2316" t="s">
        <v>1799</v>
      </c>
      <c r="N2316" t="s">
        <v>1799</v>
      </c>
      <c r="O2316" s="184" t="str">
        <f>"["&amp;$C2316&amp;"]["&amp;$D2316&amp;"]["&amp;$F2316&amp;"]"</f>
        <v>[S05_BiomassInstallations][22][EmissionsBiomassSustainabilitySatisfied]</v>
      </c>
    </row>
    <row r="2317" spans="1:15" x14ac:dyDescent="0.3">
      <c r="A2317" t="s">
        <v>1793</v>
      </c>
      <c r="B2317" t="s">
        <v>2290</v>
      </c>
      <c r="C2317" t="s">
        <v>2293</v>
      </c>
      <c r="D2317">
        <v>23</v>
      </c>
      <c r="E2317" t="s">
        <v>1447</v>
      </c>
      <c r="F2317" t="s">
        <v>2296</v>
      </c>
      <c r="G2317" t="s">
        <v>1892</v>
      </c>
      <c r="H2317" t="s">
        <v>1799</v>
      </c>
      <c r="I2317" t="s">
        <v>1799</v>
      </c>
      <c r="J2317">
        <v>78.271833599999994</v>
      </c>
      <c r="K2317" t="s">
        <v>1799</v>
      </c>
      <c r="L2317" t="s">
        <v>1799</v>
      </c>
      <c r="M2317" t="s">
        <v>1799</v>
      </c>
      <c r="N2317" t="s">
        <v>1799</v>
      </c>
      <c r="O2317" s="184" t="str">
        <f>"["&amp;$C2317&amp;"]["&amp;$D2317&amp;"]["&amp;$F2317&amp;"]"</f>
        <v>[S05_BiomassInstallations][23][EmissionsBiomassSustainabilitySatisfied]</v>
      </c>
    </row>
    <row r="2318" spans="1:15" x14ac:dyDescent="0.3">
      <c r="A2318" t="s">
        <v>1793</v>
      </c>
      <c r="B2318" t="s">
        <v>2290</v>
      </c>
      <c r="C2318" t="s">
        <v>2293</v>
      </c>
      <c r="D2318">
        <v>24</v>
      </c>
      <c r="E2318" t="s">
        <v>1447</v>
      </c>
      <c r="F2318" t="s">
        <v>2296</v>
      </c>
      <c r="G2318" t="s">
        <v>1892</v>
      </c>
      <c r="H2318" t="s">
        <v>1799</v>
      </c>
      <c r="I2318" t="s">
        <v>1799</v>
      </c>
      <c r="J2318">
        <v>903.29608438069999</v>
      </c>
      <c r="K2318" t="s">
        <v>1799</v>
      </c>
      <c r="L2318" t="s">
        <v>1799</v>
      </c>
      <c r="M2318" t="s">
        <v>1799</v>
      </c>
      <c r="N2318" t="s">
        <v>1799</v>
      </c>
      <c r="O2318" s="184" t="str">
        <f>"["&amp;$C2318&amp;"]["&amp;$D2318&amp;"]["&amp;$F2318&amp;"]"</f>
        <v>[S05_BiomassInstallations][24][EmissionsBiomassSustainabilitySatisfied]</v>
      </c>
    </row>
    <row r="2319" spans="1:15" x14ac:dyDescent="0.3">
      <c r="A2319" t="s">
        <v>1793</v>
      </c>
      <c r="B2319" t="s">
        <v>2290</v>
      </c>
      <c r="C2319" t="s">
        <v>2293</v>
      </c>
      <c r="D2319">
        <v>25</v>
      </c>
      <c r="E2319" t="s">
        <v>1447</v>
      </c>
      <c r="F2319" t="s">
        <v>2296</v>
      </c>
      <c r="G2319" t="s">
        <v>1892</v>
      </c>
      <c r="H2319" t="s">
        <v>1799</v>
      </c>
      <c r="I2319" t="s">
        <v>1799</v>
      </c>
      <c r="J2319">
        <v>1032.7059931441199</v>
      </c>
      <c r="K2319" t="s">
        <v>1799</v>
      </c>
      <c r="L2319" t="s">
        <v>1799</v>
      </c>
      <c r="M2319" t="s">
        <v>1799</v>
      </c>
      <c r="N2319" t="s">
        <v>1799</v>
      </c>
      <c r="O2319" s="184" t="str">
        <f>"["&amp;$C2319&amp;"]["&amp;$D2319&amp;"]["&amp;$F2319&amp;"]"</f>
        <v>[S05_BiomassInstallations][25][EmissionsBiomassSustainabilitySatisfied]</v>
      </c>
    </row>
    <row r="2320" spans="1:15" x14ac:dyDescent="0.3">
      <c r="A2320" t="s">
        <v>1793</v>
      </c>
      <c r="B2320" t="s">
        <v>2290</v>
      </c>
      <c r="C2320" t="s">
        <v>2293</v>
      </c>
      <c r="D2320">
        <v>26</v>
      </c>
      <c r="E2320" t="s">
        <v>1447</v>
      </c>
      <c r="F2320" t="s">
        <v>2296</v>
      </c>
      <c r="G2320" t="s">
        <v>1892</v>
      </c>
      <c r="H2320" t="s">
        <v>1799</v>
      </c>
      <c r="I2320" t="s">
        <v>1799</v>
      </c>
      <c r="J2320">
        <v>37160.427586133497</v>
      </c>
      <c r="K2320" t="s">
        <v>1799</v>
      </c>
      <c r="L2320" t="s">
        <v>1799</v>
      </c>
      <c r="M2320" t="s">
        <v>1799</v>
      </c>
      <c r="N2320" t="s">
        <v>1799</v>
      </c>
      <c r="O2320" s="184" t="str">
        <f>"["&amp;$C2320&amp;"]["&amp;$D2320&amp;"]["&amp;$F2320&amp;"]"</f>
        <v>[S05_BiomassInstallations][26][EmissionsBiomassSustainabilitySatisfied]</v>
      </c>
    </row>
    <row r="2321" spans="1:15" x14ac:dyDescent="0.3">
      <c r="A2321" t="s">
        <v>1793</v>
      </c>
      <c r="B2321" t="s">
        <v>2290</v>
      </c>
      <c r="C2321" t="s">
        <v>2293</v>
      </c>
      <c r="D2321">
        <v>1</v>
      </c>
      <c r="E2321" t="s">
        <v>1447</v>
      </c>
      <c r="F2321" t="s">
        <v>2297</v>
      </c>
      <c r="G2321" t="s">
        <v>1892</v>
      </c>
      <c r="H2321" t="s">
        <v>1799</v>
      </c>
      <c r="I2321" t="s">
        <v>1799</v>
      </c>
      <c r="J2321">
        <v>28079</v>
      </c>
      <c r="K2321" t="s">
        <v>1799</v>
      </c>
      <c r="L2321" t="s">
        <v>1799</v>
      </c>
      <c r="M2321" t="s">
        <v>1799</v>
      </c>
      <c r="N2321" t="s">
        <v>1799</v>
      </c>
      <c r="O2321" s="184" t="str">
        <f>"["&amp;$C2321&amp;"]["&amp;$D2321&amp;"]["&amp;$F2321&amp;"]"</f>
        <v>[S05_BiomassInstallations][1][EmissionsFossil]</v>
      </c>
    </row>
    <row r="2322" spans="1:15" x14ac:dyDescent="0.3">
      <c r="A2322" t="s">
        <v>1793</v>
      </c>
      <c r="B2322" t="s">
        <v>2290</v>
      </c>
      <c r="C2322" t="s">
        <v>2293</v>
      </c>
      <c r="D2322">
        <v>2</v>
      </c>
      <c r="E2322" t="s">
        <v>1447</v>
      </c>
      <c r="F2322" t="s">
        <v>2297</v>
      </c>
      <c r="G2322" t="s">
        <v>1892</v>
      </c>
      <c r="H2322" t="s">
        <v>1799</v>
      </c>
      <c r="I2322" t="s">
        <v>1799</v>
      </c>
      <c r="J2322">
        <v>44736</v>
      </c>
      <c r="K2322" t="s">
        <v>1799</v>
      </c>
      <c r="L2322" t="s">
        <v>1799</v>
      </c>
      <c r="M2322" t="s">
        <v>1799</v>
      </c>
      <c r="N2322" t="s">
        <v>1799</v>
      </c>
      <c r="O2322" s="184" t="str">
        <f>"["&amp;$C2322&amp;"]["&amp;$D2322&amp;"]["&amp;$F2322&amp;"]"</f>
        <v>[S05_BiomassInstallations][2][EmissionsFossil]</v>
      </c>
    </row>
    <row r="2323" spans="1:15" x14ac:dyDescent="0.3">
      <c r="A2323" t="s">
        <v>1793</v>
      </c>
      <c r="B2323" t="s">
        <v>2290</v>
      </c>
      <c r="C2323" t="s">
        <v>2293</v>
      </c>
      <c r="D2323">
        <v>3</v>
      </c>
      <c r="E2323" t="s">
        <v>1447</v>
      </c>
      <c r="F2323" t="s">
        <v>2297</v>
      </c>
      <c r="G2323" t="s">
        <v>1892</v>
      </c>
      <c r="H2323" t="s">
        <v>1799</v>
      </c>
      <c r="I2323" t="s">
        <v>1799</v>
      </c>
      <c r="J2323">
        <v>334914</v>
      </c>
      <c r="K2323" t="s">
        <v>1799</v>
      </c>
      <c r="L2323" t="s">
        <v>1799</v>
      </c>
      <c r="M2323" t="s">
        <v>1799</v>
      </c>
      <c r="N2323" t="s">
        <v>1799</v>
      </c>
      <c r="O2323" s="184" t="str">
        <f>"["&amp;$C2323&amp;"]["&amp;$D2323&amp;"]["&amp;$F2323&amp;"]"</f>
        <v>[S05_BiomassInstallations][3][EmissionsFossil]</v>
      </c>
    </row>
    <row r="2324" spans="1:15" x14ac:dyDescent="0.3">
      <c r="A2324" t="s">
        <v>1793</v>
      </c>
      <c r="B2324" t="s">
        <v>2290</v>
      </c>
      <c r="C2324" t="s">
        <v>2293</v>
      </c>
      <c r="D2324">
        <v>4</v>
      </c>
      <c r="E2324" t="s">
        <v>1447</v>
      </c>
      <c r="F2324" t="s">
        <v>2297</v>
      </c>
      <c r="G2324" t="s">
        <v>1892</v>
      </c>
      <c r="H2324" t="s">
        <v>1799</v>
      </c>
      <c r="I2324" t="s">
        <v>1799</v>
      </c>
      <c r="J2324">
        <v>10104027</v>
      </c>
      <c r="K2324" t="s">
        <v>1799</v>
      </c>
      <c r="L2324" t="s">
        <v>1799</v>
      </c>
      <c r="M2324" t="s">
        <v>1799</v>
      </c>
      <c r="N2324" t="s">
        <v>1799</v>
      </c>
      <c r="O2324" s="184" t="str">
        <f>"["&amp;$C2324&amp;"]["&amp;$D2324&amp;"]["&amp;$F2324&amp;"]"</f>
        <v>[S05_BiomassInstallations][4][EmissionsFossil]</v>
      </c>
    </row>
    <row r="2325" spans="1:15" x14ac:dyDescent="0.3">
      <c r="A2325" t="s">
        <v>1793</v>
      </c>
      <c r="B2325" t="s">
        <v>2290</v>
      </c>
      <c r="C2325" t="s">
        <v>2293</v>
      </c>
      <c r="D2325">
        <v>5</v>
      </c>
      <c r="E2325" t="s">
        <v>1447</v>
      </c>
      <c r="F2325" t="s">
        <v>2297</v>
      </c>
      <c r="G2325" t="s">
        <v>1892</v>
      </c>
      <c r="H2325" t="s">
        <v>1799</v>
      </c>
      <c r="I2325" t="s">
        <v>1799</v>
      </c>
      <c r="J2325">
        <v>141096</v>
      </c>
      <c r="K2325" t="s">
        <v>1799</v>
      </c>
      <c r="L2325" t="s">
        <v>1799</v>
      </c>
      <c r="M2325" t="s">
        <v>1799</v>
      </c>
      <c r="N2325" t="s">
        <v>1799</v>
      </c>
      <c r="O2325" s="184" t="str">
        <f>"["&amp;$C2325&amp;"]["&amp;$D2325&amp;"]["&amp;$F2325&amp;"]"</f>
        <v>[S05_BiomassInstallations][5][EmissionsFossil]</v>
      </c>
    </row>
    <row r="2326" spans="1:15" x14ac:dyDescent="0.3">
      <c r="A2326" t="s">
        <v>1793</v>
      </c>
      <c r="B2326" t="s">
        <v>2290</v>
      </c>
      <c r="C2326" t="s">
        <v>2293</v>
      </c>
      <c r="D2326">
        <v>6</v>
      </c>
      <c r="E2326" t="s">
        <v>1447</v>
      </c>
      <c r="F2326" t="s">
        <v>2297</v>
      </c>
      <c r="G2326" t="s">
        <v>1892</v>
      </c>
      <c r="H2326" t="s">
        <v>1799</v>
      </c>
      <c r="I2326" t="s">
        <v>1799</v>
      </c>
      <c r="J2326">
        <v>295581</v>
      </c>
      <c r="K2326" t="s">
        <v>1799</v>
      </c>
      <c r="L2326" t="s">
        <v>1799</v>
      </c>
      <c r="M2326" t="s">
        <v>1799</v>
      </c>
      <c r="N2326" t="s">
        <v>1799</v>
      </c>
      <c r="O2326" s="184" t="str">
        <f>"["&amp;$C2326&amp;"]["&amp;$D2326&amp;"]["&amp;$F2326&amp;"]"</f>
        <v>[S05_BiomassInstallations][6][EmissionsFossil]</v>
      </c>
    </row>
    <row r="2327" spans="1:15" x14ac:dyDescent="0.3">
      <c r="A2327" t="s">
        <v>1793</v>
      </c>
      <c r="B2327" t="s">
        <v>2290</v>
      </c>
      <c r="C2327" t="s">
        <v>2293</v>
      </c>
      <c r="D2327">
        <v>7</v>
      </c>
      <c r="E2327" t="s">
        <v>1447</v>
      </c>
      <c r="F2327" t="s">
        <v>2297</v>
      </c>
      <c r="G2327" t="s">
        <v>1892</v>
      </c>
      <c r="H2327" t="s">
        <v>1799</v>
      </c>
      <c r="I2327" t="s">
        <v>1799</v>
      </c>
      <c r="J2327">
        <v>2801363</v>
      </c>
      <c r="K2327" t="s">
        <v>1799</v>
      </c>
      <c r="L2327" t="s">
        <v>1799</v>
      </c>
      <c r="M2327" t="s">
        <v>1799</v>
      </c>
      <c r="N2327" t="s">
        <v>1799</v>
      </c>
      <c r="O2327" s="184" t="str">
        <f>"["&amp;$C2327&amp;"]["&amp;$D2327&amp;"]["&amp;$F2327&amp;"]"</f>
        <v>[S05_BiomassInstallations][7][EmissionsFossil]</v>
      </c>
    </row>
    <row r="2328" spans="1:15" x14ac:dyDescent="0.3">
      <c r="A2328" t="s">
        <v>1793</v>
      </c>
      <c r="B2328" t="s">
        <v>2290</v>
      </c>
      <c r="C2328" t="s">
        <v>2293</v>
      </c>
      <c r="D2328">
        <v>8</v>
      </c>
      <c r="E2328" t="s">
        <v>1447</v>
      </c>
      <c r="F2328" t="s">
        <v>2297</v>
      </c>
      <c r="G2328" t="s">
        <v>1892</v>
      </c>
      <c r="H2328" t="s">
        <v>1799</v>
      </c>
      <c r="I2328" t="s">
        <v>1799</v>
      </c>
      <c r="J2328">
        <v>17398357</v>
      </c>
      <c r="K2328" t="s">
        <v>1799</v>
      </c>
      <c r="L2328" t="s">
        <v>1799</v>
      </c>
      <c r="M2328" t="s">
        <v>1799</v>
      </c>
      <c r="N2328" t="s">
        <v>1799</v>
      </c>
      <c r="O2328" s="184" t="str">
        <f>"["&amp;$C2328&amp;"]["&amp;$D2328&amp;"]["&amp;$F2328&amp;"]"</f>
        <v>[S05_BiomassInstallations][8][EmissionsFossil]</v>
      </c>
    </row>
    <row r="2329" spans="1:15" x14ac:dyDescent="0.3">
      <c r="A2329" t="s">
        <v>1793</v>
      </c>
      <c r="B2329" t="s">
        <v>2290</v>
      </c>
      <c r="C2329" t="s">
        <v>2293</v>
      </c>
      <c r="D2329">
        <v>9</v>
      </c>
      <c r="E2329" t="s">
        <v>1447</v>
      </c>
      <c r="F2329" t="s">
        <v>2297</v>
      </c>
      <c r="G2329" t="s">
        <v>1892</v>
      </c>
      <c r="H2329" t="s">
        <v>1799</v>
      </c>
      <c r="I2329" t="s">
        <v>1799</v>
      </c>
      <c r="J2329">
        <v>1645765</v>
      </c>
      <c r="K2329" t="s">
        <v>1799</v>
      </c>
      <c r="L2329" t="s">
        <v>1799</v>
      </c>
      <c r="M2329" t="s">
        <v>1799</v>
      </c>
      <c r="N2329" t="s">
        <v>1799</v>
      </c>
      <c r="O2329" s="184" t="str">
        <f>"["&amp;$C2329&amp;"]["&amp;$D2329&amp;"]["&amp;$F2329&amp;"]"</f>
        <v>[S05_BiomassInstallations][9][EmissionsFossil]</v>
      </c>
    </row>
    <row r="2330" spans="1:15" x14ac:dyDescent="0.3">
      <c r="A2330" t="s">
        <v>1793</v>
      </c>
      <c r="B2330" t="s">
        <v>2290</v>
      </c>
      <c r="C2330" t="s">
        <v>2293</v>
      </c>
      <c r="D2330">
        <v>10</v>
      </c>
      <c r="E2330" t="s">
        <v>1447</v>
      </c>
      <c r="F2330" t="s">
        <v>2297</v>
      </c>
      <c r="G2330" t="s">
        <v>1892</v>
      </c>
      <c r="H2330" t="s">
        <v>1799</v>
      </c>
      <c r="I2330" t="s">
        <v>1799</v>
      </c>
      <c r="J2330">
        <v>1691601</v>
      </c>
      <c r="K2330" t="s">
        <v>1799</v>
      </c>
      <c r="L2330" t="s">
        <v>1799</v>
      </c>
      <c r="M2330" t="s">
        <v>1799</v>
      </c>
      <c r="N2330" t="s">
        <v>1799</v>
      </c>
      <c r="O2330" s="184" t="str">
        <f>"["&amp;$C2330&amp;"]["&amp;$D2330&amp;"]["&amp;$F2330&amp;"]"</f>
        <v>[S05_BiomassInstallations][10][EmissionsFossil]</v>
      </c>
    </row>
    <row r="2331" spans="1:15" x14ac:dyDescent="0.3">
      <c r="A2331" t="s">
        <v>1793</v>
      </c>
      <c r="B2331" t="s">
        <v>2290</v>
      </c>
      <c r="C2331" t="s">
        <v>2293</v>
      </c>
      <c r="D2331">
        <v>11</v>
      </c>
      <c r="E2331" t="s">
        <v>1447</v>
      </c>
      <c r="F2331" t="s">
        <v>2297</v>
      </c>
      <c r="G2331" t="s">
        <v>1892</v>
      </c>
      <c r="H2331" t="s">
        <v>1799</v>
      </c>
      <c r="I2331" t="s">
        <v>1799</v>
      </c>
      <c r="J2331">
        <v>189724</v>
      </c>
      <c r="K2331" t="s">
        <v>1799</v>
      </c>
      <c r="L2331" t="s">
        <v>1799</v>
      </c>
      <c r="M2331" t="s">
        <v>1799</v>
      </c>
      <c r="N2331" t="s">
        <v>1799</v>
      </c>
      <c r="O2331" s="184" t="str">
        <f>"["&amp;$C2331&amp;"]["&amp;$D2331&amp;"]["&amp;$F2331&amp;"]"</f>
        <v>[S05_BiomassInstallations][11][EmissionsFossil]</v>
      </c>
    </row>
    <row r="2332" spans="1:15" x14ac:dyDescent="0.3">
      <c r="A2332" t="s">
        <v>1793</v>
      </c>
      <c r="B2332" t="s">
        <v>2290</v>
      </c>
      <c r="C2332" t="s">
        <v>2293</v>
      </c>
      <c r="D2332">
        <v>12</v>
      </c>
      <c r="E2332" t="s">
        <v>1447</v>
      </c>
      <c r="F2332" t="s">
        <v>2297</v>
      </c>
      <c r="G2332" t="s">
        <v>1892</v>
      </c>
      <c r="H2332" t="s">
        <v>1799</v>
      </c>
      <c r="I2332" t="s">
        <v>1799</v>
      </c>
      <c r="J2332">
        <v>283871</v>
      </c>
      <c r="K2332" t="s">
        <v>1799</v>
      </c>
      <c r="L2332" t="s">
        <v>1799</v>
      </c>
      <c r="M2332" t="s">
        <v>1799</v>
      </c>
      <c r="N2332" t="s">
        <v>1799</v>
      </c>
      <c r="O2332" s="184" t="str">
        <f>"["&amp;$C2332&amp;"]["&amp;$D2332&amp;"]["&amp;$F2332&amp;"]"</f>
        <v>[S05_BiomassInstallations][12][EmissionsFossil]</v>
      </c>
    </row>
    <row r="2333" spans="1:15" x14ac:dyDescent="0.3">
      <c r="A2333" t="s">
        <v>1793</v>
      </c>
      <c r="B2333" t="s">
        <v>2290</v>
      </c>
      <c r="C2333" t="s">
        <v>2293</v>
      </c>
      <c r="D2333">
        <v>13</v>
      </c>
      <c r="E2333" t="s">
        <v>1447</v>
      </c>
      <c r="F2333" t="s">
        <v>2297</v>
      </c>
      <c r="G2333" t="s">
        <v>1892</v>
      </c>
      <c r="H2333" t="s">
        <v>1799</v>
      </c>
      <c r="I2333" t="s">
        <v>1799</v>
      </c>
      <c r="J2333">
        <v>932694</v>
      </c>
      <c r="K2333" t="s">
        <v>1799</v>
      </c>
      <c r="L2333" t="s">
        <v>1799</v>
      </c>
      <c r="M2333" t="s">
        <v>1799</v>
      </c>
      <c r="N2333" t="s">
        <v>1799</v>
      </c>
      <c r="O2333" s="184" t="str">
        <f>"["&amp;$C2333&amp;"]["&amp;$D2333&amp;"]["&amp;$F2333&amp;"]"</f>
        <v>[S05_BiomassInstallations][13][EmissionsFossil]</v>
      </c>
    </row>
    <row r="2334" spans="1:15" x14ac:dyDescent="0.3">
      <c r="A2334" t="s">
        <v>1793</v>
      </c>
      <c r="B2334" t="s">
        <v>2290</v>
      </c>
      <c r="C2334" t="s">
        <v>2293</v>
      </c>
      <c r="D2334">
        <v>14</v>
      </c>
      <c r="E2334" t="s">
        <v>1447</v>
      </c>
      <c r="F2334" t="s">
        <v>2297</v>
      </c>
      <c r="G2334" t="s">
        <v>1892</v>
      </c>
      <c r="H2334" t="s">
        <v>1799</v>
      </c>
      <c r="I2334" t="s">
        <v>1799</v>
      </c>
      <c r="J2334">
        <v>64446</v>
      </c>
      <c r="K2334" t="s">
        <v>1799</v>
      </c>
      <c r="L2334" t="s">
        <v>1799</v>
      </c>
      <c r="M2334" t="s">
        <v>1799</v>
      </c>
      <c r="N2334" t="s">
        <v>1799</v>
      </c>
      <c r="O2334" s="184" t="str">
        <f>"["&amp;$C2334&amp;"]["&amp;$D2334&amp;"]["&amp;$F2334&amp;"]"</f>
        <v>[S05_BiomassInstallations][14][EmissionsFossil]</v>
      </c>
    </row>
    <row r="2335" spans="1:15" x14ac:dyDescent="0.3">
      <c r="A2335" t="s">
        <v>1793</v>
      </c>
      <c r="B2335" t="s">
        <v>2290</v>
      </c>
      <c r="C2335" t="s">
        <v>2293</v>
      </c>
      <c r="D2335">
        <v>15</v>
      </c>
      <c r="E2335" t="s">
        <v>1447</v>
      </c>
      <c r="F2335" t="s">
        <v>2297</v>
      </c>
      <c r="G2335" t="s">
        <v>1892</v>
      </c>
      <c r="H2335" t="s">
        <v>1799</v>
      </c>
      <c r="I2335" t="s">
        <v>1799</v>
      </c>
      <c r="J2335">
        <v>73829</v>
      </c>
      <c r="K2335" t="s">
        <v>1799</v>
      </c>
      <c r="L2335" t="s">
        <v>1799</v>
      </c>
      <c r="M2335" t="s">
        <v>1799</v>
      </c>
      <c r="N2335" t="s">
        <v>1799</v>
      </c>
      <c r="O2335" s="184" t="str">
        <f>"["&amp;$C2335&amp;"]["&amp;$D2335&amp;"]["&amp;$F2335&amp;"]"</f>
        <v>[S05_BiomassInstallations][15][EmissionsFossil]</v>
      </c>
    </row>
    <row r="2336" spans="1:15" x14ac:dyDescent="0.3">
      <c r="A2336" t="s">
        <v>1793</v>
      </c>
      <c r="B2336" t="s">
        <v>2290</v>
      </c>
      <c r="C2336" t="s">
        <v>2293</v>
      </c>
      <c r="D2336">
        <v>16</v>
      </c>
      <c r="E2336" t="s">
        <v>1447</v>
      </c>
      <c r="F2336" t="s">
        <v>2297</v>
      </c>
      <c r="G2336" t="s">
        <v>1892</v>
      </c>
      <c r="H2336" t="s">
        <v>1799</v>
      </c>
      <c r="I2336" t="s">
        <v>1799</v>
      </c>
      <c r="J2336">
        <v>185262</v>
      </c>
      <c r="K2336" t="s">
        <v>1799</v>
      </c>
      <c r="L2336" t="s">
        <v>1799</v>
      </c>
      <c r="M2336" t="s">
        <v>1799</v>
      </c>
      <c r="N2336" t="s">
        <v>1799</v>
      </c>
      <c r="O2336" s="184" t="str">
        <f>"["&amp;$C2336&amp;"]["&amp;$D2336&amp;"]["&amp;$F2336&amp;"]"</f>
        <v>[S05_BiomassInstallations][16][EmissionsFossil]</v>
      </c>
    </row>
    <row r="2337" spans="1:15" x14ac:dyDescent="0.3">
      <c r="A2337" t="s">
        <v>1793</v>
      </c>
      <c r="B2337" t="s">
        <v>2290</v>
      </c>
      <c r="C2337" t="s">
        <v>2293</v>
      </c>
      <c r="D2337">
        <v>17</v>
      </c>
      <c r="E2337" t="s">
        <v>1447</v>
      </c>
      <c r="F2337" t="s">
        <v>2297</v>
      </c>
      <c r="G2337" t="s">
        <v>1892</v>
      </c>
      <c r="H2337" t="s">
        <v>1799</v>
      </c>
      <c r="I2337" t="s">
        <v>1799</v>
      </c>
      <c r="J2337">
        <v>192205</v>
      </c>
      <c r="K2337" t="s">
        <v>1799</v>
      </c>
      <c r="L2337" t="s">
        <v>1799</v>
      </c>
      <c r="M2337" t="s">
        <v>1799</v>
      </c>
      <c r="N2337" t="s">
        <v>1799</v>
      </c>
      <c r="O2337" s="184" t="str">
        <f>"["&amp;$C2337&amp;"]["&amp;$D2337&amp;"]["&amp;$F2337&amp;"]"</f>
        <v>[S05_BiomassInstallations][17][EmissionsFossil]</v>
      </c>
    </row>
    <row r="2338" spans="1:15" x14ac:dyDescent="0.3">
      <c r="A2338" t="s">
        <v>1793</v>
      </c>
      <c r="B2338" t="s">
        <v>2290</v>
      </c>
      <c r="C2338" t="s">
        <v>2293</v>
      </c>
      <c r="D2338">
        <v>18</v>
      </c>
      <c r="E2338" t="s">
        <v>1447</v>
      </c>
      <c r="F2338" t="s">
        <v>2297</v>
      </c>
      <c r="G2338" t="s">
        <v>1892</v>
      </c>
      <c r="H2338" t="s">
        <v>1799</v>
      </c>
      <c r="I2338" t="s">
        <v>1799</v>
      </c>
      <c r="J2338">
        <v>2484327</v>
      </c>
      <c r="K2338" t="s">
        <v>1799</v>
      </c>
      <c r="L2338" t="s">
        <v>1799</v>
      </c>
      <c r="M2338" t="s">
        <v>1799</v>
      </c>
      <c r="N2338" t="s">
        <v>1799</v>
      </c>
      <c r="O2338" s="184" t="str">
        <f>"["&amp;$C2338&amp;"]["&amp;$D2338&amp;"]["&amp;$F2338&amp;"]"</f>
        <v>[S05_BiomassInstallations][18][EmissionsFossil]</v>
      </c>
    </row>
    <row r="2339" spans="1:15" x14ac:dyDescent="0.3">
      <c r="A2339" t="s">
        <v>1793</v>
      </c>
      <c r="B2339" t="s">
        <v>2290</v>
      </c>
      <c r="C2339" t="s">
        <v>2293</v>
      </c>
      <c r="D2339">
        <v>19</v>
      </c>
      <c r="E2339" t="s">
        <v>1447</v>
      </c>
      <c r="F2339" t="s">
        <v>2297</v>
      </c>
      <c r="G2339" t="s">
        <v>1892</v>
      </c>
      <c r="H2339" t="s">
        <v>1799</v>
      </c>
      <c r="I2339" t="s">
        <v>1799</v>
      </c>
      <c r="J2339">
        <v>1201686</v>
      </c>
      <c r="K2339" t="s">
        <v>1799</v>
      </c>
      <c r="L2339" t="s">
        <v>1799</v>
      </c>
      <c r="M2339" t="s">
        <v>1799</v>
      </c>
      <c r="N2339" t="s">
        <v>1799</v>
      </c>
      <c r="O2339" s="184" t="str">
        <f>"["&amp;$C2339&amp;"]["&amp;$D2339&amp;"]["&amp;$F2339&amp;"]"</f>
        <v>[S05_BiomassInstallations][19][EmissionsFossil]</v>
      </c>
    </row>
    <row r="2340" spans="1:15" x14ac:dyDescent="0.3">
      <c r="A2340" t="s">
        <v>1793</v>
      </c>
      <c r="B2340" t="s">
        <v>2290</v>
      </c>
      <c r="C2340" t="s">
        <v>2293</v>
      </c>
      <c r="D2340">
        <v>20</v>
      </c>
      <c r="E2340" t="s">
        <v>1447</v>
      </c>
      <c r="F2340" t="s">
        <v>2297</v>
      </c>
      <c r="G2340" t="s">
        <v>1892</v>
      </c>
      <c r="H2340" t="s">
        <v>1799</v>
      </c>
      <c r="I2340" t="s">
        <v>1799</v>
      </c>
      <c r="J2340">
        <v>5024317</v>
      </c>
      <c r="K2340" t="s">
        <v>1799</v>
      </c>
      <c r="L2340" t="s">
        <v>1799</v>
      </c>
      <c r="M2340" t="s">
        <v>1799</v>
      </c>
      <c r="N2340" t="s">
        <v>1799</v>
      </c>
      <c r="O2340" s="184" t="str">
        <f>"["&amp;$C2340&amp;"]["&amp;$D2340&amp;"]["&amp;$F2340&amp;"]"</f>
        <v>[S05_BiomassInstallations][20][EmissionsFossil]</v>
      </c>
    </row>
    <row r="2341" spans="1:15" x14ac:dyDescent="0.3">
      <c r="A2341" t="s">
        <v>1793</v>
      </c>
      <c r="B2341" t="s">
        <v>2290</v>
      </c>
      <c r="C2341" t="s">
        <v>2293</v>
      </c>
      <c r="D2341">
        <v>21</v>
      </c>
      <c r="E2341" t="s">
        <v>1447</v>
      </c>
      <c r="F2341" t="s">
        <v>2297</v>
      </c>
      <c r="G2341" t="s">
        <v>1892</v>
      </c>
      <c r="H2341" t="s">
        <v>1799</v>
      </c>
      <c r="I2341" t="s">
        <v>1799</v>
      </c>
      <c r="J2341">
        <v>69768003</v>
      </c>
      <c r="K2341" t="s">
        <v>1799</v>
      </c>
      <c r="L2341" t="s">
        <v>1799</v>
      </c>
      <c r="M2341" t="s">
        <v>1799</v>
      </c>
      <c r="N2341" t="s">
        <v>1799</v>
      </c>
      <c r="O2341" s="184" t="str">
        <f>"["&amp;$C2341&amp;"]["&amp;$D2341&amp;"]["&amp;$F2341&amp;"]"</f>
        <v>[S05_BiomassInstallations][21][EmissionsFossil]</v>
      </c>
    </row>
    <row r="2342" spans="1:15" x14ac:dyDescent="0.3">
      <c r="A2342" t="s">
        <v>1793</v>
      </c>
      <c r="B2342" t="s">
        <v>2290</v>
      </c>
      <c r="C2342" t="s">
        <v>2293</v>
      </c>
      <c r="D2342">
        <v>22</v>
      </c>
      <c r="E2342" t="s">
        <v>1447</v>
      </c>
      <c r="F2342" t="s">
        <v>2297</v>
      </c>
      <c r="G2342" t="s">
        <v>1892</v>
      </c>
      <c r="H2342" t="s">
        <v>1799</v>
      </c>
      <c r="I2342" t="s">
        <v>1799</v>
      </c>
      <c r="J2342">
        <v>18422</v>
      </c>
      <c r="K2342" t="s">
        <v>1799</v>
      </c>
      <c r="L2342" t="s">
        <v>1799</v>
      </c>
      <c r="M2342" t="s">
        <v>1799</v>
      </c>
      <c r="N2342" t="s">
        <v>1799</v>
      </c>
      <c r="O2342" s="184" t="str">
        <f>"["&amp;$C2342&amp;"]["&amp;$D2342&amp;"]["&amp;$F2342&amp;"]"</f>
        <v>[S05_BiomassInstallations][22][EmissionsFossil]</v>
      </c>
    </row>
    <row r="2343" spans="1:15" x14ac:dyDescent="0.3">
      <c r="A2343" t="s">
        <v>1793</v>
      </c>
      <c r="B2343" t="s">
        <v>2290</v>
      </c>
      <c r="C2343" t="s">
        <v>2293</v>
      </c>
      <c r="D2343">
        <v>23</v>
      </c>
      <c r="E2343" t="s">
        <v>1447</v>
      </c>
      <c r="F2343" t="s">
        <v>2297</v>
      </c>
      <c r="G2343" t="s">
        <v>1892</v>
      </c>
      <c r="H2343" t="s">
        <v>1799</v>
      </c>
      <c r="I2343" t="s">
        <v>1799</v>
      </c>
      <c r="J2343">
        <v>1897444</v>
      </c>
      <c r="K2343" t="s">
        <v>1799</v>
      </c>
      <c r="L2343" t="s">
        <v>1799</v>
      </c>
      <c r="M2343" t="s">
        <v>1799</v>
      </c>
      <c r="N2343" t="s">
        <v>1799</v>
      </c>
      <c r="O2343" s="184" t="str">
        <f>"["&amp;$C2343&amp;"]["&amp;$D2343&amp;"]["&amp;$F2343&amp;"]"</f>
        <v>[S05_BiomassInstallations][23][EmissionsFossil]</v>
      </c>
    </row>
    <row r="2344" spans="1:15" x14ac:dyDescent="0.3">
      <c r="A2344" t="s">
        <v>1793</v>
      </c>
      <c r="B2344" t="s">
        <v>2290</v>
      </c>
      <c r="C2344" t="s">
        <v>2293</v>
      </c>
      <c r="D2344">
        <v>24</v>
      </c>
      <c r="E2344" t="s">
        <v>1447</v>
      </c>
      <c r="F2344" t="s">
        <v>2297</v>
      </c>
      <c r="G2344" t="s">
        <v>1892</v>
      </c>
      <c r="H2344" t="s">
        <v>1799</v>
      </c>
      <c r="I2344" t="s">
        <v>1799</v>
      </c>
      <c r="J2344">
        <v>260603</v>
      </c>
      <c r="K2344" t="s">
        <v>1799</v>
      </c>
      <c r="L2344" t="s">
        <v>1799</v>
      </c>
      <c r="M2344" t="s">
        <v>1799</v>
      </c>
      <c r="N2344" t="s">
        <v>1799</v>
      </c>
      <c r="O2344" s="184" t="str">
        <f>"["&amp;$C2344&amp;"]["&amp;$D2344&amp;"]["&amp;$F2344&amp;"]"</f>
        <v>[S05_BiomassInstallations][24][EmissionsFossil]</v>
      </c>
    </row>
    <row r="2345" spans="1:15" x14ac:dyDescent="0.3">
      <c r="A2345" t="s">
        <v>1793</v>
      </c>
      <c r="B2345" t="s">
        <v>2290</v>
      </c>
      <c r="C2345" t="s">
        <v>2293</v>
      </c>
      <c r="D2345">
        <v>25</v>
      </c>
      <c r="E2345" t="s">
        <v>1447</v>
      </c>
      <c r="F2345" t="s">
        <v>2297</v>
      </c>
      <c r="G2345" t="s">
        <v>1892</v>
      </c>
      <c r="H2345" t="s">
        <v>1799</v>
      </c>
      <c r="I2345" t="s">
        <v>1799</v>
      </c>
      <c r="J2345">
        <v>52409</v>
      </c>
      <c r="K2345" t="s">
        <v>1799</v>
      </c>
      <c r="L2345" t="s">
        <v>1799</v>
      </c>
      <c r="M2345" t="s">
        <v>1799</v>
      </c>
      <c r="N2345" t="s">
        <v>1799</v>
      </c>
      <c r="O2345" s="184" t="str">
        <f>"["&amp;$C2345&amp;"]["&amp;$D2345&amp;"]["&amp;$F2345&amp;"]"</f>
        <v>[S05_BiomassInstallations][25][EmissionsFossil]</v>
      </c>
    </row>
    <row r="2346" spans="1:15" x14ac:dyDescent="0.3">
      <c r="A2346" t="s">
        <v>1793</v>
      </c>
      <c r="B2346" t="s">
        <v>2290</v>
      </c>
      <c r="C2346" t="s">
        <v>2293</v>
      </c>
      <c r="D2346">
        <v>26</v>
      </c>
      <c r="E2346" t="s">
        <v>1447</v>
      </c>
      <c r="F2346" t="s">
        <v>2297</v>
      </c>
      <c r="G2346" t="s">
        <v>1892</v>
      </c>
      <c r="H2346" t="s">
        <v>1799</v>
      </c>
      <c r="I2346" t="s">
        <v>1799</v>
      </c>
      <c r="J2346">
        <v>501742</v>
      </c>
      <c r="K2346" t="s">
        <v>1799</v>
      </c>
      <c r="L2346" t="s">
        <v>1799</v>
      </c>
      <c r="M2346" t="s">
        <v>1799</v>
      </c>
      <c r="N2346" t="s">
        <v>1799</v>
      </c>
      <c r="O2346" s="184" t="str">
        <f>"["&amp;$C2346&amp;"]["&amp;$D2346&amp;"]["&amp;$F2346&amp;"]"</f>
        <v>[S05_BiomassInstallations][26][EmissionsFossil]</v>
      </c>
    </row>
    <row r="2347" spans="1:15" x14ac:dyDescent="0.3">
      <c r="A2347" t="s">
        <v>1793</v>
      </c>
      <c r="B2347" t="s">
        <v>2290</v>
      </c>
      <c r="C2347" t="s">
        <v>2293</v>
      </c>
      <c r="D2347">
        <v>1</v>
      </c>
      <c r="E2347" t="s">
        <v>1447</v>
      </c>
      <c r="F2347" t="s">
        <v>2298</v>
      </c>
      <c r="G2347" t="s">
        <v>1892</v>
      </c>
      <c r="H2347" t="s">
        <v>1799</v>
      </c>
      <c r="I2347" t="s">
        <v>1799</v>
      </c>
      <c r="J2347">
        <v>1435.9983354235701</v>
      </c>
      <c r="K2347" t="s">
        <v>1799</v>
      </c>
      <c r="L2347" t="s">
        <v>1799</v>
      </c>
      <c r="M2347" t="s">
        <v>1799</v>
      </c>
      <c r="N2347" t="s">
        <v>1799</v>
      </c>
      <c r="O2347" s="184" t="str">
        <f>"["&amp;$C2347&amp;"]["&amp;$D2347&amp;"]["&amp;$F2347&amp;"]"</f>
        <v>[S05_BiomassInstallations][1][EnergyZeroRatedBiomass]</v>
      </c>
    </row>
    <row r="2348" spans="1:15" x14ac:dyDescent="0.3">
      <c r="A2348" t="s">
        <v>1793</v>
      </c>
      <c r="B2348" t="s">
        <v>2290</v>
      </c>
      <c r="C2348" t="s">
        <v>2293</v>
      </c>
      <c r="D2348">
        <v>2</v>
      </c>
      <c r="E2348" t="s">
        <v>1447</v>
      </c>
      <c r="F2348" t="s">
        <v>2298</v>
      </c>
      <c r="G2348" t="s">
        <v>1892</v>
      </c>
      <c r="H2348" t="s">
        <v>1799</v>
      </c>
      <c r="I2348" t="s">
        <v>1799</v>
      </c>
      <c r="J2348">
        <v>2.6783575000000002</v>
      </c>
      <c r="K2348" t="s">
        <v>1799</v>
      </c>
      <c r="L2348" t="s">
        <v>1799</v>
      </c>
      <c r="M2348" t="s">
        <v>1799</v>
      </c>
      <c r="N2348" t="s">
        <v>1799</v>
      </c>
      <c r="O2348" s="184" t="str">
        <f>"["&amp;$C2348&amp;"]["&amp;$D2348&amp;"]["&amp;$F2348&amp;"]"</f>
        <v>[S05_BiomassInstallations][2][EnergyZeroRatedBiomass]</v>
      </c>
    </row>
    <row r="2349" spans="1:15" x14ac:dyDescent="0.3">
      <c r="A2349" t="s">
        <v>1793</v>
      </c>
      <c r="B2349" t="s">
        <v>2290</v>
      </c>
      <c r="C2349" t="s">
        <v>2293</v>
      </c>
      <c r="D2349">
        <v>3</v>
      </c>
      <c r="E2349" t="s">
        <v>1447</v>
      </c>
      <c r="F2349" t="s">
        <v>2298</v>
      </c>
      <c r="G2349" t="s">
        <v>1892</v>
      </c>
      <c r="H2349" t="s">
        <v>1799</v>
      </c>
      <c r="I2349" t="s">
        <v>1799</v>
      </c>
      <c r="J2349">
        <v>27.918269529650399</v>
      </c>
      <c r="K2349" t="s">
        <v>1799</v>
      </c>
      <c r="L2349" t="s">
        <v>1799</v>
      </c>
      <c r="M2349" t="s">
        <v>1799</v>
      </c>
      <c r="N2349" t="s">
        <v>1799</v>
      </c>
      <c r="O2349" s="184" t="str">
        <f>"["&amp;$C2349&amp;"]["&amp;$D2349&amp;"]["&amp;$F2349&amp;"]"</f>
        <v>[S05_BiomassInstallations][3][EnergyZeroRatedBiomass]</v>
      </c>
    </row>
    <row r="2350" spans="1:15" x14ac:dyDescent="0.3">
      <c r="A2350" t="s">
        <v>1793</v>
      </c>
      <c r="B2350" t="s">
        <v>2290</v>
      </c>
      <c r="C2350" t="s">
        <v>2293</v>
      </c>
      <c r="D2350">
        <v>4</v>
      </c>
      <c r="E2350" t="s">
        <v>1447</v>
      </c>
      <c r="F2350" t="s">
        <v>2298</v>
      </c>
      <c r="G2350" t="s">
        <v>1892</v>
      </c>
      <c r="H2350" t="s">
        <v>1799</v>
      </c>
      <c r="I2350" t="s">
        <v>1799</v>
      </c>
      <c r="J2350">
        <v>35.698344568576999</v>
      </c>
      <c r="K2350" t="s">
        <v>1799</v>
      </c>
      <c r="L2350" t="s">
        <v>1799</v>
      </c>
      <c r="M2350" t="s">
        <v>1799</v>
      </c>
      <c r="N2350" t="s">
        <v>1799</v>
      </c>
      <c r="O2350" s="184" t="str">
        <f>"["&amp;$C2350&amp;"]["&amp;$D2350&amp;"]["&amp;$F2350&amp;"]"</f>
        <v>[S05_BiomassInstallations][4][EnergyZeroRatedBiomass]</v>
      </c>
    </row>
    <row r="2351" spans="1:15" x14ac:dyDescent="0.3">
      <c r="A2351" t="s">
        <v>1793</v>
      </c>
      <c r="B2351" t="s">
        <v>2290</v>
      </c>
      <c r="C2351" t="s">
        <v>2293</v>
      </c>
      <c r="D2351">
        <v>5</v>
      </c>
      <c r="E2351" t="s">
        <v>1447</v>
      </c>
      <c r="F2351" t="s">
        <v>2298</v>
      </c>
      <c r="G2351" t="s">
        <v>1892</v>
      </c>
      <c r="H2351" t="s">
        <v>1799</v>
      </c>
      <c r="I2351" t="s">
        <v>1799</v>
      </c>
      <c r="J2351">
        <v>6.2256282089999999</v>
      </c>
      <c r="K2351" t="s">
        <v>1799</v>
      </c>
      <c r="L2351" t="s">
        <v>1799</v>
      </c>
      <c r="M2351" t="s">
        <v>1799</v>
      </c>
      <c r="N2351" t="s">
        <v>1799</v>
      </c>
      <c r="O2351" s="184" t="str">
        <f>"["&amp;$C2351&amp;"]["&amp;$D2351&amp;"]["&amp;$F2351&amp;"]"</f>
        <v>[S05_BiomassInstallations][5][EnergyZeroRatedBiomass]</v>
      </c>
    </row>
    <row r="2352" spans="1:15" x14ac:dyDescent="0.3">
      <c r="A2352" t="s">
        <v>1793</v>
      </c>
      <c r="B2352" t="s">
        <v>2290</v>
      </c>
      <c r="C2352" t="s">
        <v>2293</v>
      </c>
      <c r="D2352">
        <v>6</v>
      </c>
      <c r="E2352" t="s">
        <v>1447</v>
      </c>
      <c r="F2352" t="s">
        <v>2298</v>
      </c>
      <c r="G2352" t="s">
        <v>1892</v>
      </c>
      <c r="H2352" t="s">
        <v>1799</v>
      </c>
      <c r="I2352" t="s">
        <v>1799</v>
      </c>
      <c r="J2352">
        <v>491.59393527413999</v>
      </c>
      <c r="K2352" t="s">
        <v>1799</v>
      </c>
      <c r="L2352" t="s">
        <v>1799</v>
      </c>
      <c r="M2352" t="s">
        <v>1799</v>
      </c>
      <c r="N2352" t="s">
        <v>1799</v>
      </c>
      <c r="O2352" s="184" t="str">
        <f>"["&amp;$C2352&amp;"]["&amp;$D2352&amp;"]["&amp;$F2352&amp;"]"</f>
        <v>[S05_BiomassInstallations][6][EnergyZeroRatedBiomass]</v>
      </c>
    </row>
    <row r="2353" spans="1:15" x14ac:dyDescent="0.3">
      <c r="A2353" t="s">
        <v>1793</v>
      </c>
      <c r="B2353" t="s">
        <v>2290</v>
      </c>
      <c r="C2353" t="s">
        <v>2293</v>
      </c>
      <c r="D2353">
        <v>7</v>
      </c>
      <c r="E2353" t="s">
        <v>1447</v>
      </c>
      <c r="F2353" t="s">
        <v>2298</v>
      </c>
      <c r="G2353" t="s">
        <v>1892</v>
      </c>
      <c r="H2353" t="s">
        <v>1799</v>
      </c>
      <c r="I2353" t="s">
        <v>1799</v>
      </c>
      <c r="J2353">
        <v>2446.8926393199499</v>
      </c>
      <c r="K2353" t="s">
        <v>1799</v>
      </c>
      <c r="L2353" t="s">
        <v>1799</v>
      </c>
      <c r="M2353" t="s">
        <v>1799</v>
      </c>
      <c r="N2353" t="s">
        <v>1799</v>
      </c>
      <c r="O2353" s="184" t="str">
        <f>"["&amp;$C2353&amp;"]["&amp;$D2353&amp;"]["&amp;$F2353&amp;"]"</f>
        <v>[S05_BiomassInstallations][7][EnergyZeroRatedBiomass]</v>
      </c>
    </row>
    <row r="2354" spans="1:15" x14ac:dyDescent="0.3">
      <c r="A2354" t="s">
        <v>1793</v>
      </c>
      <c r="B2354" t="s">
        <v>2290</v>
      </c>
      <c r="C2354" t="s">
        <v>2293</v>
      </c>
      <c r="D2354">
        <v>8</v>
      </c>
      <c r="E2354" t="s">
        <v>1447</v>
      </c>
      <c r="F2354" t="s">
        <v>2298</v>
      </c>
      <c r="G2354" t="s">
        <v>1892</v>
      </c>
      <c r="H2354" t="s">
        <v>1799</v>
      </c>
      <c r="I2354" t="s">
        <v>1799</v>
      </c>
      <c r="J2354">
        <v>18386.466667826699</v>
      </c>
      <c r="K2354" t="s">
        <v>1799</v>
      </c>
      <c r="L2354" t="s">
        <v>1799</v>
      </c>
      <c r="M2354" t="s">
        <v>1799</v>
      </c>
      <c r="N2354" t="s">
        <v>1799</v>
      </c>
      <c r="O2354" s="184" t="str">
        <f>"["&amp;$C2354&amp;"]["&amp;$D2354&amp;"]["&amp;$F2354&amp;"]"</f>
        <v>[S05_BiomassInstallations][8][EnergyZeroRatedBiomass]</v>
      </c>
    </row>
    <row r="2355" spans="1:15" x14ac:dyDescent="0.3">
      <c r="A2355" t="s">
        <v>1793</v>
      </c>
      <c r="B2355" t="s">
        <v>2290</v>
      </c>
      <c r="C2355" t="s">
        <v>2293</v>
      </c>
      <c r="D2355">
        <v>9</v>
      </c>
      <c r="E2355" t="s">
        <v>1447</v>
      </c>
      <c r="F2355" t="s">
        <v>2298</v>
      </c>
      <c r="G2355" t="s">
        <v>1892</v>
      </c>
      <c r="H2355" t="s">
        <v>1799</v>
      </c>
      <c r="I2355" t="s">
        <v>1799</v>
      </c>
      <c r="J2355">
        <v>278.20602097068002</v>
      </c>
      <c r="K2355" t="s">
        <v>1799</v>
      </c>
      <c r="L2355" t="s">
        <v>1799</v>
      </c>
      <c r="M2355" t="s">
        <v>1799</v>
      </c>
      <c r="N2355" t="s">
        <v>1799</v>
      </c>
      <c r="O2355" s="184" t="str">
        <f>"["&amp;$C2355&amp;"]["&amp;$D2355&amp;"]["&amp;$F2355&amp;"]"</f>
        <v>[S05_BiomassInstallations][9][EnergyZeroRatedBiomass]</v>
      </c>
    </row>
    <row r="2356" spans="1:15" x14ac:dyDescent="0.3">
      <c r="A2356" t="s">
        <v>1793</v>
      </c>
      <c r="B2356" t="s">
        <v>2290</v>
      </c>
      <c r="C2356" t="s">
        <v>2293</v>
      </c>
      <c r="D2356">
        <v>10</v>
      </c>
      <c r="E2356" t="s">
        <v>1447</v>
      </c>
      <c r="F2356" t="s">
        <v>2298</v>
      </c>
      <c r="G2356" t="s">
        <v>1892</v>
      </c>
      <c r="H2356" t="s">
        <v>1799</v>
      </c>
      <c r="I2356" t="s">
        <v>1799</v>
      </c>
      <c r="J2356">
        <v>185.8234665105</v>
      </c>
      <c r="K2356" t="s">
        <v>1799</v>
      </c>
      <c r="L2356" t="s">
        <v>1799</v>
      </c>
      <c r="M2356" t="s">
        <v>1799</v>
      </c>
      <c r="N2356" t="s">
        <v>1799</v>
      </c>
      <c r="O2356" s="184" t="str">
        <f>"["&amp;$C2356&amp;"]["&amp;$D2356&amp;"]["&amp;$F2356&amp;"]"</f>
        <v>[S05_BiomassInstallations][10][EnergyZeroRatedBiomass]</v>
      </c>
    </row>
    <row r="2357" spans="1:15" x14ac:dyDescent="0.3">
      <c r="A2357" t="s">
        <v>1793</v>
      </c>
      <c r="B2357" t="s">
        <v>2290</v>
      </c>
      <c r="C2357" t="s">
        <v>2293</v>
      </c>
      <c r="D2357">
        <v>11</v>
      </c>
      <c r="E2357" t="s">
        <v>1447</v>
      </c>
      <c r="F2357" t="s">
        <v>2298</v>
      </c>
      <c r="G2357" t="s">
        <v>1892</v>
      </c>
      <c r="H2357" t="s">
        <v>1799</v>
      </c>
      <c r="I2357" t="s">
        <v>1799</v>
      </c>
      <c r="J2357">
        <v>22.548127253890499</v>
      </c>
      <c r="K2357" t="s">
        <v>1799</v>
      </c>
      <c r="L2357" t="s">
        <v>1799</v>
      </c>
      <c r="M2357" t="s">
        <v>1799</v>
      </c>
      <c r="N2357" t="s">
        <v>1799</v>
      </c>
      <c r="O2357" s="184" t="str">
        <f>"["&amp;$C2357&amp;"]["&amp;$D2357&amp;"]["&amp;$F2357&amp;"]"</f>
        <v>[S05_BiomassInstallations][11][EnergyZeroRatedBiomass]</v>
      </c>
    </row>
    <row r="2358" spans="1:15" x14ac:dyDescent="0.3">
      <c r="A2358" t="s">
        <v>1793</v>
      </c>
      <c r="B2358" t="s">
        <v>2290</v>
      </c>
      <c r="C2358" t="s">
        <v>2293</v>
      </c>
      <c r="D2358">
        <v>12</v>
      </c>
      <c r="E2358" t="s">
        <v>1447</v>
      </c>
      <c r="F2358" t="s">
        <v>2298</v>
      </c>
      <c r="G2358" t="s">
        <v>1892</v>
      </c>
      <c r="H2358" t="s">
        <v>1799</v>
      </c>
      <c r="I2358" t="s">
        <v>1799</v>
      </c>
      <c r="J2358">
        <v>33.537846570091297</v>
      </c>
      <c r="K2358" t="s">
        <v>1799</v>
      </c>
      <c r="L2358" t="s">
        <v>1799</v>
      </c>
      <c r="M2358" t="s">
        <v>1799</v>
      </c>
      <c r="N2358" t="s">
        <v>1799</v>
      </c>
      <c r="O2358" s="184" t="str">
        <f>"["&amp;$C2358&amp;"]["&amp;$D2358&amp;"]["&amp;$F2358&amp;"]"</f>
        <v>[S05_BiomassInstallations][12][EnergyZeroRatedBiomass]</v>
      </c>
    </row>
    <row r="2359" spans="1:15" x14ac:dyDescent="0.3">
      <c r="A2359" t="s">
        <v>1793</v>
      </c>
      <c r="B2359" t="s">
        <v>2290</v>
      </c>
      <c r="C2359" t="s">
        <v>2293</v>
      </c>
      <c r="D2359">
        <v>13</v>
      </c>
      <c r="E2359" t="s">
        <v>1447</v>
      </c>
      <c r="F2359" t="s">
        <v>2298</v>
      </c>
      <c r="G2359" t="s">
        <v>1892</v>
      </c>
      <c r="H2359" t="s">
        <v>1799</v>
      </c>
      <c r="I2359" t="s">
        <v>1799</v>
      </c>
      <c r="J2359">
        <v>3685.6481538068401</v>
      </c>
      <c r="K2359" t="s">
        <v>1799</v>
      </c>
      <c r="L2359" t="s">
        <v>1799</v>
      </c>
      <c r="M2359" t="s">
        <v>1799</v>
      </c>
      <c r="N2359" t="s">
        <v>1799</v>
      </c>
      <c r="O2359" s="184" t="str">
        <f>"["&amp;$C2359&amp;"]["&amp;$D2359&amp;"]["&amp;$F2359&amp;"]"</f>
        <v>[S05_BiomassInstallations][13][EnergyZeroRatedBiomass]</v>
      </c>
    </row>
    <row r="2360" spans="1:15" x14ac:dyDescent="0.3">
      <c r="A2360" t="s">
        <v>1793</v>
      </c>
      <c r="B2360" t="s">
        <v>2290</v>
      </c>
      <c r="C2360" t="s">
        <v>2293</v>
      </c>
      <c r="D2360">
        <v>14</v>
      </c>
      <c r="E2360" t="s">
        <v>1447</v>
      </c>
      <c r="F2360" t="s">
        <v>2298</v>
      </c>
      <c r="G2360" t="s">
        <v>1892</v>
      </c>
      <c r="H2360" t="s">
        <v>1799</v>
      </c>
      <c r="I2360" t="s">
        <v>1799</v>
      </c>
      <c r="J2360">
        <v>62.188582400000001</v>
      </c>
      <c r="K2360" t="s">
        <v>1799</v>
      </c>
      <c r="L2360" t="s">
        <v>1799</v>
      </c>
      <c r="M2360" t="s">
        <v>1799</v>
      </c>
      <c r="N2360" t="s">
        <v>1799</v>
      </c>
      <c r="O2360" s="184" t="str">
        <f>"["&amp;$C2360&amp;"]["&amp;$D2360&amp;"]["&amp;$F2360&amp;"]"</f>
        <v>[S05_BiomassInstallations][14][EnergyZeroRatedBiomass]</v>
      </c>
    </row>
    <row r="2361" spans="1:15" x14ac:dyDescent="0.3">
      <c r="A2361" t="s">
        <v>1793</v>
      </c>
      <c r="B2361" t="s">
        <v>2290</v>
      </c>
      <c r="C2361" t="s">
        <v>2293</v>
      </c>
      <c r="D2361">
        <v>15</v>
      </c>
      <c r="E2361" t="s">
        <v>1447</v>
      </c>
      <c r="F2361" t="s">
        <v>2298</v>
      </c>
      <c r="G2361" t="s">
        <v>1892</v>
      </c>
      <c r="H2361" t="s">
        <v>1799</v>
      </c>
      <c r="I2361" t="s">
        <v>1799</v>
      </c>
      <c r="J2361">
        <v>10002.5113981091</v>
      </c>
      <c r="K2361" t="s">
        <v>1799</v>
      </c>
      <c r="L2361" t="s">
        <v>1799</v>
      </c>
      <c r="M2361" t="s">
        <v>1799</v>
      </c>
      <c r="N2361" t="s">
        <v>1799</v>
      </c>
      <c r="O2361" s="184" t="str">
        <f>"["&amp;$C2361&amp;"]["&amp;$D2361&amp;"]["&amp;$F2361&amp;"]"</f>
        <v>[S05_BiomassInstallations][15][EnergyZeroRatedBiomass]</v>
      </c>
    </row>
    <row r="2362" spans="1:15" x14ac:dyDescent="0.3">
      <c r="A2362" t="s">
        <v>1793</v>
      </c>
      <c r="B2362" t="s">
        <v>2290</v>
      </c>
      <c r="C2362" t="s">
        <v>2293</v>
      </c>
      <c r="D2362">
        <v>16</v>
      </c>
      <c r="E2362" t="s">
        <v>1447</v>
      </c>
      <c r="F2362" t="s">
        <v>2298</v>
      </c>
      <c r="G2362" t="s">
        <v>1892</v>
      </c>
      <c r="H2362" t="s">
        <v>1799</v>
      </c>
      <c r="I2362" t="s">
        <v>1799</v>
      </c>
      <c r="J2362">
        <v>21392.651344149999</v>
      </c>
      <c r="K2362" t="s">
        <v>1799</v>
      </c>
      <c r="L2362" t="s">
        <v>1799</v>
      </c>
      <c r="M2362" t="s">
        <v>1799</v>
      </c>
      <c r="N2362" t="s">
        <v>1799</v>
      </c>
      <c r="O2362" s="184" t="str">
        <f>"["&amp;$C2362&amp;"]["&amp;$D2362&amp;"]["&amp;$F2362&amp;"]"</f>
        <v>[S05_BiomassInstallations][16][EnergyZeroRatedBiomass]</v>
      </c>
    </row>
    <row r="2363" spans="1:15" x14ac:dyDescent="0.3">
      <c r="A2363" t="s">
        <v>1793</v>
      </c>
      <c r="B2363" t="s">
        <v>2290</v>
      </c>
      <c r="C2363" t="s">
        <v>2293</v>
      </c>
      <c r="D2363">
        <v>17</v>
      </c>
      <c r="E2363" t="s">
        <v>1447</v>
      </c>
      <c r="F2363" t="s">
        <v>2298</v>
      </c>
      <c r="G2363" t="s">
        <v>1892</v>
      </c>
      <c r="H2363" t="s">
        <v>1799</v>
      </c>
      <c r="I2363" t="s">
        <v>1799</v>
      </c>
      <c r="J2363">
        <v>2909.4070570200001</v>
      </c>
      <c r="K2363" t="s">
        <v>1799</v>
      </c>
      <c r="L2363" t="s">
        <v>1799</v>
      </c>
      <c r="M2363" t="s">
        <v>1799</v>
      </c>
      <c r="N2363" t="s">
        <v>1799</v>
      </c>
      <c r="O2363" s="184" t="str">
        <f>"["&amp;$C2363&amp;"]["&amp;$D2363&amp;"]["&amp;$F2363&amp;"]"</f>
        <v>[S05_BiomassInstallations][17][EnergyZeroRatedBiomass]</v>
      </c>
    </row>
    <row r="2364" spans="1:15" x14ac:dyDescent="0.3">
      <c r="A2364" t="s">
        <v>1793</v>
      </c>
      <c r="B2364" t="s">
        <v>2290</v>
      </c>
      <c r="C2364" t="s">
        <v>2293</v>
      </c>
      <c r="D2364">
        <v>18</v>
      </c>
      <c r="E2364" t="s">
        <v>1447</v>
      </c>
      <c r="F2364" t="s">
        <v>2298</v>
      </c>
      <c r="G2364" t="s">
        <v>1892</v>
      </c>
      <c r="H2364" t="s">
        <v>1799</v>
      </c>
      <c r="I2364" t="s">
        <v>1799</v>
      </c>
      <c r="J2364">
        <v>5870.1653621734204</v>
      </c>
      <c r="K2364" t="s">
        <v>1799</v>
      </c>
      <c r="L2364" t="s">
        <v>1799</v>
      </c>
      <c r="M2364" t="s">
        <v>1799</v>
      </c>
      <c r="N2364" t="s">
        <v>1799</v>
      </c>
      <c r="O2364" s="184" t="str">
        <f>"["&amp;$C2364&amp;"]["&amp;$D2364&amp;"]["&amp;$F2364&amp;"]"</f>
        <v>[S05_BiomassInstallations][18][EnergyZeroRatedBiomass]</v>
      </c>
    </row>
    <row r="2365" spans="1:15" x14ac:dyDescent="0.3">
      <c r="A2365" t="s">
        <v>1793</v>
      </c>
      <c r="B2365" t="s">
        <v>2290</v>
      </c>
      <c r="C2365" t="s">
        <v>2293</v>
      </c>
      <c r="D2365">
        <v>19</v>
      </c>
      <c r="E2365" t="s">
        <v>1447</v>
      </c>
      <c r="F2365" t="s">
        <v>2298</v>
      </c>
      <c r="G2365" t="s">
        <v>1892</v>
      </c>
      <c r="H2365" t="s">
        <v>1799</v>
      </c>
      <c r="I2365" t="s">
        <v>1799</v>
      </c>
      <c r="J2365">
        <v>67026.943314565098</v>
      </c>
      <c r="K2365" t="s">
        <v>1799</v>
      </c>
      <c r="L2365" t="s">
        <v>1799</v>
      </c>
      <c r="M2365" t="s">
        <v>1799</v>
      </c>
      <c r="N2365" t="s">
        <v>1799</v>
      </c>
      <c r="O2365" s="184" t="str">
        <f>"["&amp;$C2365&amp;"]["&amp;$D2365&amp;"]["&amp;$F2365&amp;"]"</f>
        <v>[S05_BiomassInstallations][19][EnergyZeroRatedBiomass]</v>
      </c>
    </row>
    <row r="2366" spans="1:15" x14ac:dyDescent="0.3">
      <c r="A2366" t="s">
        <v>1793</v>
      </c>
      <c r="B2366" t="s">
        <v>2290</v>
      </c>
      <c r="C2366" t="s">
        <v>2293</v>
      </c>
      <c r="D2366">
        <v>20</v>
      </c>
      <c r="E2366" t="s">
        <v>1447</v>
      </c>
      <c r="F2366" t="s">
        <v>2298</v>
      </c>
      <c r="G2366" t="s">
        <v>1892</v>
      </c>
      <c r="H2366" t="s">
        <v>1799</v>
      </c>
      <c r="I2366" t="s">
        <v>1799</v>
      </c>
      <c r="J2366">
        <v>11603.182680194601</v>
      </c>
      <c r="K2366" t="s">
        <v>1799</v>
      </c>
      <c r="L2366" t="s">
        <v>1799</v>
      </c>
      <c r="M2366" t="s">
        <v>1799</v>
      </c>
      <c r="N2366" t="s">
        <v>1799</v>
      </c>
      <c r="O2366" s="184" t="str">
        <f>"["&amp;$C2366&amp;"]["&amp;$D2366&amp;"]["&amp;$F2366&amp;"]"</f>
        <v>[S05_BiomassInstallations][20][EnergyZeroRatedBiomass]</v>
      </c>
    </row>
    <row r="2367" spans="1:15" x14ac:dyDescent="0.3">
      <c r="A2367" t="s">
        <v>1793</v>
      </c>
      <c r="B2367" t="s">
        <v>2290</v>
      </c>
      <c r="C2367" t="s">
        <v>2293</v>
      </c>
      <c r="D2367">
        <v>21</v>
      </c>
      <c r="E2367" t="s">
        <v>1447</v>
      </c>
      <c r="F2367" t="s">
        <v>2298</v>
      </c>
      <c r="G2367" t="s">
        <v>1892</v>
      </c>
      <c r="H2367" t="s">
        <v>1799</v>
      </c>
      <c r="I2367" t="s">
        <v>1799</v>
      </c>
      <c r="J2367">
        <v>7773.8058593942797</v>
      </c>
      <c r="K2367" t="s">
        <v>1799</v>
      </c>
      <c r="L2367" t="s">
        <v>1799</v>
      </c>
      <c r="M2367" t="s">
        <v>1799</v>
      </c>
      <c r="N2367" t="s">
        <v>1799</v>
      </c>
      <c r="O2367" s="184" t="str">
        <f>"["&amp;$C2367&amp;"]["&amp;$D2367&amp;"]["&amp;$F2367&amp;"]"</f>
        <v>[S05_BiomassInstallations][21][EnergyZeroRatedBiomass]</v>
      </c>
    </row>
    <row r="2368" spans="1:15" x14ac:dyDescent="0.3">
      <c r="A2368" t="s">
        <v>1793</v>
      </c>
      <c r="B2368" t="s">
        <v>2290</v>
      </c>
      <c r="C2368" t="s">
        <v>2293</v>
      </c>
      <c r="D2368">
        <v>22</v>
      </c>
      <c r="E2368" t="s">
        <v>1447</v>
      </c>
      <c r="F2368" t="s">
        <v>2298</v>
      </c>
      <c r="G2368" t="s">
        <v>1892</v>
      </c>
      <c r="H2368" t="s">
        <v>1799</v>
      </c>
      <c r="I2368" t="s">
        <v>1799</v>
      </c>
      <c r="J2368">
        <v>8.8622399835200003</v>
      </c>
      <c r="K2368" t="s">
        <v>1799</v>
      </c>
      <c r="L2368" t="s">
        <v>1799</v>
      </c>
      <c r="M2368" t="s">
        <v>1799</v>
      </c>
      <c r="N2368" t="s">
        <v>1799</v>
      </c>
      <c r="O2368" s="184" t="str">
        <f>"["&amp;$C2368&amp;"]["&amp;$D2368&amp;"]["&amp;$F2368&amp;"]"</f>
        <v>[S05_BiomassInstallations][22][EnergyZeroRatedBiomass]</v>
      </c>
    </row>
    <row r="2369" spans="1:15" x14ac:dyDescent="0.3">
      <c r="A2369" t="s">
        <v>1793</v>
      </c>
      <c r="B2369" t="s">
        <v>2290</v>
      </c>
      <c r="C2369" t="s">
        <v>2293</v>
      </c>
      <c r="D2369">
        <v>23</v>
      </c>
      <c r="E2369" t="s">
        <v>1447</v>
      </c>
      <c r="F2369" t="s">
        <v>2298</v>
      </c>
      <c r="G2369" t="s">
        <v>1892</v>
      </c>
      <c r="H2369" t="s">
        <v>1799</v>
      </c>
      <c r="I2369" t="s">
        <v>1799</v>
      </c>
      <c r="J2369">
        <v>0.74519999999999997</v>
      </c>
      <c r="K2369" t="s">
        <v>1799</v>
      </c>
      <c r="L2369" t="s">
        <v>1799</v>
      </c>
      <c r="M2369" t="s">
        <v>1799</v>
      </c>
      <c r="N2369" t="s">
        <v>1799</v>
      </c>
      <c r="O2369" s="184" t="str">
        <f>"["&amp;$C2369&amp;"]["&amp;$D2369&amp;"]["&amp;$F2369&amp;"]"</f>
        <v>[S05_BiomassInstallations][23][EnergyZeroRatedBiomass]</v>
      </c>
    </row>
    <row r="2370" spans="1:15" x14ac:dyDescent="0.3">
      <c r="A2370" t="s">
        <v>1793</v>
      </c>
      <c r="B2370" t="s">
        <v>2290</v>
      </c>
      <c r="C2370" t="s">
        <v>2293</v>
      </c>
      <c r="D2370">
        <v>24</v>
      </c>
      <c r="E2370" t="s">
        <v>1447</v>
      </c>
      <c r="F2370" t="s">
        <v>2298</v>
      </c>
      <c r="G2370" t="s">
        <v>1892</v>
      </c>
      <c r="H2370" t="s">
        <v>1799</v>
      </c>
      <c r="I2370" t="s">
        <v>1799</v>
      </c>
      <c r="J2370">
        <v>0</v>
      </c>
      <c r="K2370" t="s">
        <v>1799</v>
      </c>
      <c r="L2370" t="s">
        <v>1799</v>
      </c>
      <c r="M2370" t="s">
        <v>1799</v>
      </c>
      <c r="N2370" t="s">
        <v>1799</v>
      </c>
      <c r="O2370" s="184" t="str">
        <f>"["&amp;$C2370&amp;"]["&amp;$D2370&amp;"]["&amp;$F2370&amp;"]"</f>
        <v>[S05_BiomassInstallations][24][EnergyZeroRatedBiomass]</v>
      </c>
    </row>
    <row r="2371" spans="1:15" x14ac:dyDescent="0.3">
      <c r="A2371" t="s">
        <v>1793</v>
      </c>
      <c r="B2371" t="s">
        <v>2290</v>
      </c>
      <c r="C2371" t="s">
        <v>2293</v>
      </c>
      <c r="D2371">
        <v>25</v>
      </c>
      <c r="E2371" t="s">
        <v>1447</v>
      </c>
      <c r="F2371" t="s">
        <v>2298</v>
      </c>
      <c r="G2371" t="s">
        <v>1892</v>
      </c>
      <c r="H2371" t="s">
        <v>1799</v>
      </c>
      <c r="I2371" t="s">
        <v>1799</v>
      </c>
      <c r="J2371">
        <v>11.853302104200001</v>
      </c>
      <c r="K2371" t="s">
        <v>1799</v>
      </c>
      <c r="L2371" t="s">
        <v>1799</v>
      </c>
      <c r="M2371" t="s">
        <v>1799</v>
      </c>
      <c r="N2371" t="s">
        <v>1799</v>
      </c>
      <c r="O2371" s="184" t="str">
        <f>"["&amp;$C2371&amp;"]["&amp;$D2371&amp;"]["&amp;$F2371&amp;"]"</f>
        <v>[S05_BiomassInstallations][25][EnergyZeroRatedBiomass]</v>
      </c>
    </row>
    <row r="2372" spans="1:15" x14ac:dyDescent="0.3">
      <c r="A2372" t="s">
        <v>1793</v>
      </c>
      <c r="B2372" t="s">
        <v>2290</v>
      </c>
      <c r="C2372" t="s">
        <v>2293</v>
      </c>
      <c r="D2372">
        <v>26</v>
      </c>
      <c r="E2372" t="s">
        <v>1447</v>
      </c>
      <c r="F2372" t="s">
        <v>2298</v>
      </c>
      <c r="G2372" t="s">
        <v>1892</v>
      </c>
      <c r="H2372" t="s">
        <v>1799</v>
      </c>
      <c r="I2372" t="s">
        <v>1799</v>
      </c>
      <c r="J2372">
        <v>922.53564335506201</v>
      </c>
      <c r="K2372" t="s">
        <v>1799</v>
      </c>
      <c r="L2372" t="s">
        <v>1799</v>
      </c>
      <c r="M2372" t="s">
        <v>1799</v>
      </c>
      <c r="N2372" t="s">
        <v>1799</v>
      </c>
      <c r="O2372" s="184" t="str">
        <f>"["&amp;$C2372&amp;"]["&amp;$D2372&amp;"]["&amp;$F2372&amp;"]"</f>
        <v>[S05_BiomassInstallations][26][EnergyZeroRatedBiomass]</v>
      </c>
    </row>
    <row r="2373" spans="1:15" x14ac:dyDescent="0.3">
      <c r="A2373" t="s">
        <v>1793</v>
      </c>
      <c r="B2373" t="s">
        <v>2290</v>
      </c>
      <c r="C2373" t="s">
        <v>2293</v>
      </c>
      <c r="D2373">
        <v>1</v>
      </c>
      <c r="E2373" t="s">
        <v>1447</v>
      </c>
      <c r="F2373" t="s">
        <v>2299</v>
      </c>
      <c r="G2373" t="s">
        <v>1892</v>
      </c>
      <c r="H2373" t="s">
        <v>1799</v>
      </c>
      <c r="I2373" t="s">
        <v>1799</v>
      </c>
      <c r="J2373">
        <v>501.41244</v>
      </c>
      <c r="K2373" t="s">
        <v>1799</v>
      </c>
      <c r="L2373" t="s">
        <v>1799</v>
      </c>
      <c r="M2373" t="s">
        <v>1799</v>
      </c>
      <c r="N2373" t="s">
        <v>1799</v>
      </c>
      <c r="O2373" s="184" t="str">
        <f>"["&amp;$C2373&amp;"]["&amp;$D2373&amp;"]["&amp;$F2373&amp;"]"</f>
        <v>[S05_BiomassInstallations][1][EnergyFossil]</v>
      </c>
    </row>
    <row r="2374" spans="1:15" x14ac:dyDescent="0.3">
      <c r="A2374" t="s">
        <v>1793</v>
      </c>
      <c r="B2374" t="s">
        <v>2290</v>
      </c>
      <c r="C2374" t="s">
        <v>2293</v>
      </c>
      <c r="D2374">
        <v>2</v>
      </c>
      <c r="E2374" t="s">
        <v>1447</v>
      </c>
      <c r="F2374" t="s">
        <v>2299</v>
      </c>
      <c r="G2374" t="s">
        <v>1892</v>
      </c>
      <c r="H2374" t="s">
        <v>1799</v>
      </c>
      <c r="I2374" t="s">
        <v>1799</v>
      </c>
      <c r="J2374">
        <v>-2146.1017849159998</v>
      </c>
      <c r="K2374" t="s">
        <v>1799</v>
      </c>
      <c r="L2374" t="s">
        <v>1799</v>
      </c>
      <c r="M2374" t="s">
        <v>1799</v>
      </c>
      <c r="N2374" t="s">
        <v>1799</v>
      </c>
      <c r="O2374" s="184" t="str">
        <f>"["&amp;$C2374&amp;"]["&amp;$D2374&amp;"]["&amp;$F2374&amp;"]"</f>
        <v>[S05_BiomassInstallations][2][EnergyFossil]</v>
      </c>
    </row>
    <row r="2375" spans="1:15" x14ac:dyDescent="0.3">
      <c r="A2375" t="s">
        <v>1793</v>
      </c>
      <c r="B2375" t="s">
        <v>2290</v>
      </c>
      <c r="C2375" t="s">
        <v>2293</v>
      </c>
      <c r="D2375">
        <v>3</v>
      </c>
      <c r="E2375" t="s">
        <v>1447</v>
      </c>
      <c r="F2375" t="s">
        <v>2299</v>
      </c>
      <c r="G2375" t="s">
        <v>1892</v>
      </c>
      <c r="H2375" t="s">
        <v>1799</v>
      </c>
      <c r="I2375" t="s">
        <v>1799</v>
      </c>
      <c r="J2375">
        <v>-6494.8866606683396</v>
      </c>
      <c r="K2375" t="s">
        <v>1799</v>
      </c>
      <c r="L2375" t="s">
        <v>1799</v>
      </c>
      <c r="M2375" t="s">
        <v>1799</v>
      </c>
      <c r="N2375" t="s">
        <v>1799</v>
      </c>
      <c r="O2375" s="184" t="str">
        <f>"["&amp;$C2375&amp;"]["&amp;$D2375&amp;"]["&amp;$F2375&amp;"]"</f>
        <v>[S05_BiomassInstallations][3][EnergyFossil]</v>
      </c>
    </row>
    <row r="2376" spans="1:15" x14ac:dyDescent="0.3">
      <c r="A2376" t="s">
        <v>1793</v>
      </c>
      <c r="B2376" t="s">
        <v>2290</v>
      </c>
      <c r="C2376" t="s">
        <v>2293</v>
      </c>
      <c r="D2376">
        <v>4</v>
      </c>
      <c r="E2376" t="s">
        <v>1447</v>
      </c>
      <c r="F2376" t="s">
        <v>2299</v>
      </c>
      <c r="G2376" t="s">
        <v>1892</v>
      </c>
      <c r="H2376" t="s">
        <v>1799</v>
      </c>
      <c r="I2376" t="s">
        <v>1799</v>
      </c>
      <c r="J2376">
        <v>-97521.980958896005</v>
      </c>
      <c r="K2376" t="s">
        <v>1799</v>
      </c>
      <c r="L2376" t="s">
        <v>1799</v>
      </c>
      <c r="M2376" t="s">
        <v>1799</v>
      </c>
      <c r="N2376" t="s">
        <v>1799</v>
      </c>
      <c r="O2376" s="184" t="str">
        <f>"["&amp;$C2376&amp;"]["&amp;$D2376&amp;"]["&amp;$F2376&amp;"]"</f>
        <v>[S05_BiomassInstallations][4][EnergyFossil]</v>
      </c>
    </row>
    <row r="2377" spans="1:15" x14ac:dyDescent="0.3">
      <c r="A2377" t="s">
        <v>1793</v>
      </c>
      <c r="B2377" t="s">
        <v>2290</v>
      </c>
      <c r="C2377" t="s">
        <v>2293</v>
      </c>
      <c r="D2377">
        <v>5</v>
      </c>
      <c r="E2377" t="s">
        <v>1447</v>
      </c>
      <c r="F2377" t="s">
        <v>2299</v>
      </c>
      <c r="G2377" t="s">
        <v>1892</v>
      </c>
      <c r="H2377" t="s">
        <v>1799</v>
      </c>
      <c r="I2377" t="s">
        <v>1799</v>
      </c>
      <c r="J2377">
        <v>1341.8312972558101</v>
      </c>
      <c r="K2377" t="s">
        <v>1799</v>
      </c>
      <c r="L2377" t="s">
        <v>1799</v>
      </c>
      <c r="M2377" t="s">
        <v>1799</v>
      </c>
      <c r="N2377" t="s">
        <v>1799</v>
      </c>
      <c r="O2377" s="184" t="str">
        <f>"["&amp;$C2377&amp;"]["&amp;$D2377&amp;"]["&amp;$F2377&amp;"]"</f>
        <v>[S05_BiomassInstallations][5][EnergyFossil]</v>
      </c>
    </row>
    <row r="2378" spans="1:15" x14ac:dyDescent="0.3">
      <c r="A2378" t="s">
        <v>1793</v>
      </c>
      <c r="B2378" t="s">
        <v>2290</v>
      </c>
      <c r="C2378" t="s">
        <v>2293</v>
      </c>
      <c r="D2378">
        <v>6</v>
      </c>
      <c r="E2378" t="s">
        <v>1447</v>
      </c>
      <c r="F2378" t="s">
        <v>2299</v>
      </c>
      <c r="G2378" t="s">
        <v>1892</v>
      </c>
      <c r="H2378" t="s">
        <v>1799</v>
      </c>
      <c r="I2378" t="s">
        <v>1799</v>
      </c>
      <c r="J2378">
        <v>1891.6619513414901</v>
      </c>
      <c r="K2378" t="s">
        <v>1799</v>
      </c>
      <c r="L2378" t="s">
        <v>1799</v>
      </c>
      <c r="M2378" t="s">
        <v>1799</v>
      </c>
      <c r="N2378" t="s">
        <v>1799</v>
      </c>
      <c r="O2378" s="184" t="str">
        <f>"["&amp;$C2378&amp;"]["&amp;$D2378&amp;"]["&amp;$F2378&amp;"]"</f>
        <v>[S05_BiomassInstallations][6][EnergyFossil]</v>
      </c>
    </row>
    <row r="2379" spans="1:15" x14ac:dyDescent="0.3">
      <c r="A2379" t="s">
        <v>1793</v>
      </c>
      <c r="B2379" t="s">
        <v>2290</v>
      </c>
      <c r="C2379" t="s">
        <v>2293</v>
      </c>
      <c r="D2379">
        <v>7</v>
      </c>
      <c r="E2379" t="s">
        <v>1447</v>
      </c>
      <c r="F2379" t="s">
        <v>2299</v>
      </c>
      <c r="G2379" t="s">
        <v>1892</v>
      </c>
      <c r="H2379" t="s">
        <v>1799</v>
      </c>
      <c r="I2379" t="s">
        <v>1799</v>
      </c>
      <c r="J2379">
        <v>13079.6822313389</v>
      </c>
      <c r="K2379" t="s">
        <v>1799</v>
      </c>
      <c r="L2379" t="s">
        <v>1799</v>
      </c>
      <c r="M2379" t="s">
        <v>1799</v>
      </c>
      <c r="N2379" t="s">
        <v>1799</v>
      </c>
      <c r="O2379" s="184" t="str">
        <f>"["&amp;$C2379&amp;"]["&amp;$D2379&amp;"]["&amp;$F2379&amp;"]"</f>
        <v>[S05_BiomassInstallations][7][EnergyFossil]</v>
      </c>
    </row>
    <row r="2380" spans="1:15" x14ac:dyDescent="0.3">
      <c r="A2380" t="s">
        <v>1793</v>
      </c>
      <c r="B2380" t="s">
        <v>2290</v>
      </c>
      <c r="C2380" t="s">
        <v>2293</v>
      </c>
      <c r="D2380">
        <v>8</v>
      </c>
      <c r="E2380" t="s">
        <v>1447</v>
      </c>
      <c r="F2380" t="s">
        <v>2299</v>
      </c>
      <c r="G2380" t="s">
        <v>1892</v>
      </c>
      <c r="H2380" t="s">
        <v>1799</v>
      </c>
      <c r="I2380" t="s">
        <v>1799</v>
      </c>
      <c r="J2380">
        <v>94668.342716118204</v>
      </c>
      <c r="K2380" t="s">
        <v>1799</v>
      </c>
      <c r="L2380" t="s">
        <v>1799</v>
      </c>
      <c r="M2380" t="s">
        <v>1799</v>
      </c>
      <c r="N2380" t="s">
        <v>1799</v>
      </c>
      <c r="O2380" s="184" t="str">
        <f>"["&amp;$C2380&amp;"]["&amp;$D2380&amp;"]["&amp;$F2380&amp;"]"</f>
        <v>[S05_BiomassInstallations][8][EnergyFossil]</v>
      </c>
    </row>
    <row r="2381" spans="1:15" x14ac:dyDescent="0.3">
      <c r="A2381" t="s">
        <v>1793</v>
      </c>
      <c r="B2381" t="s">
        <v>2290</v>
      </c>
      <c r="C2381" t="s">
        <v>2293</v>
      </c>
      <c r="D2381">
        <v>9</v>
      </c>
      <c r="E2381" t="s">
        <v>1447</v>
      </c>
      <c r="F2381" t="s">
        <v>2299</v>
      </c>
      <c r="G2381" t="s">
        <v>1892</v>
      </c>
      <c r="H2381" t="s">
        <v>1799</v>
      </c>
      <c r="I2381" t="s">
        <v>1799</v>
      </c>
      <c r="J2381">
        <v>21833.771995402702</v>
      </c>
      <c r="K2381" t="s">
        <v>1799</v>
      </c>
      <c r="L2381" t="s">
        <v>1799</v>
      </c>
      <c r="M2381" t="s">
        <v>1799</v>
      </c>
      <c r="N2381" t="s">
        <v>1799</v>
      </c>
      <c r="O2381" s="184" t="str">
        <f>"["&amp;$C2381&amp;"]["&amp;$D2381&amp;"]["&amp;$F2381&amp;"]"</f>
        <v>[S05_BiomassInstallations][9][EnergyFossil]</v>
      </c>
    </row>
    <row r="2382" spans="1:15" x14ac:dyDescent="0.3">
      <c r="A2382" t="s">
        <v>1793</v>
      </c>
      <c r="B2382" t="s">
        <v>2290</v>
      </c>
      <c r="C2382" t="s">
        <v>2293</v>
      </c>
      <c r="D2382">
        <v>10</v>
      </c>
      <c r="E2382" t="s">
        <v>1447</v>
      </c>
      <c r="F2382" t="s">
        <v>2299</v>
      </c>
      <c r="G2382" t="s">
        <v>1892</v>
      </c>
      <c r="H2382" t="s">
        <v>1799</v>
      </c>
      <c r="I2382" t="s">
        <v>1799</v>
      </c>
      <c r="J2382">
        <v>6627.2976870595003</v>
      </c>
      <c r="K2382" t="s">
        <v>1799</v>
      </c>
      <c r="L2382" t="s">
        <v>1799</v>
      </c>
      <c r="M2382" t="s">
        <v>1799</v>
      </c>
      <c r="N2382" t="s">
        <v>1799</v>
      </c>
      <c r="O2382" s="184" t="str">
        <f>"["&amp;$C2382&amp;"]["&amp;$D2382&amp;"]["&amp;$F2382&amp;"]"</f>
        <v>[S05_BiomassInstallations][10][EnergyFossil]</v>
      </c>
    </row>
    <row r="2383" spans="1:15" x14ac:dyDescent="0.3">
      <c r="A2383" t="s">
        <v>1793</v>
      </c>
      <c r="B2383" t="s">
        <v>2290</v>
      </c>
      <c r="C2383" t="s">
        <v>2293</v>
      </c>
      <c r="D2383">
        <v>11</v>
      </c>
      <c r="E2383" t="s">
        <v>1447</v>
      </c>
      <c r="F2383" t="s">
        <v>2299</v>
      </c>
      <c r="G2383" t="s">
        <v>1892</v>
      </c>
      <c r="H2383" t="s">
        <v>1799</v>
      </c>
      <c r="I2383" t="s">
        <v>1799</v>
      </c>
      <c r="J2383">
        <v>3169.0620598976798</v>
      </c>
      <c r="K2383" t="s">
        <v>1799</v>
      </c>
      <c r="L2383" t="s">
        <v>1799</v>
      </c>
      <c r="M2383" t="s">
        <v>1799</v>
      </c>
      <c r="N2383" t="s">
        <v>1799</v>
      </c>
      <c r="O2383" s="184" t="str">
        <f>"["&amp;$C2383&amp;"]["&amp;$D2383&amp;"]["&amp;$F2383&amp;"]"</f>
        <v>[S05_BiomassInstallations][11][EnergyFossil]</v>
      </c>
    </row>
    <row r="2384" spans="1:15" x14ac:dyDescent="0.3">
      <c r="A2384" t="s">
        <v>1793</v>
      </c>
      <c r="B2384" t="s">
        <v>2290</v>
      </c>
      <c r="C2384" t="s">
        <v>2293</v>
      </c>
      <c r="D2384">
        <v>12</v>
      </c>
      <c r="E2384" t="s">
        <v>1447</v>
      </c>
      <c r="F2384" t="s">
        <v>2299</v>
      </c>
      <c r="G2384" t="s">
        <v>1892</v>
      </c>
      <c r="H2384" t="s">
        <v>1799</v>
      </c>
      <c r="I2384" t="s">
        <v>1799</v>
      </c>
      <c r="J2384">
        <v>4402.9680635550003</v>
      </c>
      <c r="K2384" t="s">
        <v>1799</v>
      </c>
      <c r="L2384" t="s">
        <v>1799</v>
      </c>
      <c r="M2384" t="s">
        <v>1799</v>
      </c>
      <c r="N2384" t="s">
        <v>1799</v>
      </c>
      <c r="O2384" s="184" t="str">
        <f>"["&amp;$C2384&amp;"]["&amp;$D2384&amp;"]["&amp;$F2384&amp;"]"</f>
        <v>[S05_BiomassInstallations][12][EnergyFossil]</v>
      </c>
    </row>
    <row r="2385" spans="1:15" x14ac:dyDescent="0.3">
      <c r="A2385" t="s">
        <v>1793</v>
      </c>
      <c r="B2385" t="s">
        <v>2290</v>
      </c>
      <c r="C2385" t="s">
        <v>2293</v>
      </c>
      <c r="D2385">
        <v>13</v>
      </c>
      <c r="E2385" t="s">
        <v>1447</v>
      </c>
      <c r="F2385" t="s">
        <v>2299</v>
      </c>
      <c r="G2385" t="s">
        <v>1892</v>
      </c>
      <c r="H2385" t="s">
        <v>1799</v>
      </c>
      <c r="I2385" t="s">
        <v>1799</v>
      </c>
      <c r="J2385">
        <v>12496.950387536401</v>
      </c>
      <c r="K2385" t="s">
        <v>1799</v>
      </c>
      <c r="L2385" t="s">
        <v>1799</v>
      </c>
      <c r="M2385" t="s">
        <v>1799</v>
      </c>
      <c r="N2385" t="s">
        <v>1799</v>
      </c>
      <c r="O2385" s="184" t="str">
        <f>"["&amp;$C2385&amp;"]["&amp;$D2385&amp;"]["&amp;$F2385&amp;"]"</f>
        <v>[S05_BiomassInstallations][13][EnergyFossil]</v>
      </c>
    </row>
    <row r="2386" spans="1:15" x14ac:dyDescent="0.3">
      <c r="A2386" t="s">
        <v>1793</v>
      </c>
      <c r="B2386" t="s">
        <v>2290</v>
      </c>
      <c r="C2386" t="s">
        <v>2293</v>
      </c>
      <c r="D2386">
        <v>14</v>
      </c>
      <c r="E2386" t="s">
        <v>1447</v>
      </c>
      <c r="F2386" t="s">
        <v>2299</v>
      </c>
      <c r="G2386" t="s">
        <v>1892</v>
      </c>
      <c r="H2386" t="s">
        <v>1799</v>
      </c>
      <c r="I2386" t="s">
        <v>1799</v>
      </c>
      <c r="J2386">
        <v>534.79139084999997</v>
      </c>
      <c r="K2386" t="s">
        <v>1799</v>
      </c>
      <c r="L2386" t="s">
        <v>1799</v>
      </c>
      <c r="M2386" t="s">
        <v>1799</v>
      </c>
      <c r="N2386" t="s">
        <v>1799</v>
      </c>
      <c r="O2386" s="184" t="str">
        <f>"["&amp;$C2386&amp;"]["&amp;$D2386&amp;"]["&amp;$F2386&amp;"]"</f>
        <v>[S05_BiomassInstallations][14][EnergyFossil]</v>
      </c>
    </row>
    <row r="2387" spans="1:15" x14ac:dyDescent="0.3">
      <c r="A2387" t="s">
        <v>1793</v>
      </c>
      <c r="B2387" t="s">
        <v>2290</v>
      </c>
      <c r="C2387" t="s">
        <v>2293</v>
      </c>
      <c r="D2387">
        <v>15</v>
      </c>
      <c r="E2387" t="s">
        <v>1447</v>
      </c>
      <c r="F2387" t="s">
        <v>2299</v>
      </c>
      <c r="G2387" t="s">
        <v>1892</v>
      </c>
      <c r="H2387" t="s">
        <v>1799</v>
      </c>
      <c r="I2387" t="s">
        <v>1799</v>
      </c>
      <c r="J2387">
        <v>1184.5421561442099</v>
      </c>
      <c r="K2387" t="s">
        <v>1799</v>
      </c>
      <c r="L2387" t="s">
        <v>1799</v>
      </c>
      <c r="M2387" t="s">
        <v>1799</v>
      </c>
      <c r="N2387" t="s">
        <v>1799</v>
      </c>
      <c r="O2387" s="184" t="str">
        <f>"["&amp;$C2387&amp;"]["&amp;$D2387&amp;"]["&amp;$F2387&amp;"]"</f>
        <v>[S05_BiomassInstallations][15][EnergyFossil]</v>
      </c>
    </row>
    <row r="2388" spans="1:15" x14ac:dyDescent="0.3">
      <c r="A2388" t="s">
        <v>1793</v>
      </c>
      <c r="B2388" t="s">
        <v>2290</v>
      </c>
      <c r="C2388" t="s">
        <v>2293</v>
      </c>
      <c r="D2388">
        <v>16</v>
      </c>
      <c r="E2388" t="s">
        <v>1447</v>
      </c>
      <c r="F2388" t="s">
        <v>2299</v>
      </c>
      <c r="G2388" t="s">
        <v>1892</v>
      </c>
      <c r="H2388" t="s">
        <v>1799</v>
      </c>
      <c r="I2388" t="s">
        <v>1799</v>
      </c>
      <c r="J2388">
        <v>3279.52621628</v>
      </c>
      <c r="K2388" t="s">
        <v>1799</v>
      </c>
      <c r="L2388" t="s">
        <v>1799</v>
      </c>
      <c r="M2388" t="s">
        <v>1799</v>
      </c>
      <c r="N2388" t="s">
        <v>1799</v>
      </c>
      <c r="O2388" s="184" t="str">
        <f>"["&amp;$C2388&amp;"]["&amp;$D2388&amp;"]["&amp;$F2388&amp;"]"</f>
        <v>[S05_BiomassInstallations][16][EnergyFossil]</v>
      </c>
    </row>
    <row r="2389" spans="1:15" x14ac:dyDescent="0.3">
      <c r="A2389" t="s">
        <v>1793</v>
      </c>
      <c r="B2389" t="s">
        <v>2290</v>
      </c>
      <c r="C2389" t="s">
        <v>2293</v>
      </c>
      <c r="D2389">
        <v>17</v>
      </c>
      <c r="E2389" t="s">
        <v>1447</v>
      </c>
      <c r="F2389" t="s">
        <v>2299</v>
      </c>
      <c r="G2389" t="s">
        <v>1892</v>
      </c>
      <c r="H2389" t="s">
        <v>1799</v>
      </c>
      <c r="I2389" t="s">
        <v>1799</v>
      </c>
      <c r="J2389">
        <v>3406.0725099966699</v>
      </c>
      <c r="K2389" t="s">
        <v>1799</v>
      </c>
      <c r="L2389" t="s">
        <v>1799</v>
      </c>
      <c r="M2389" t="s">
        <v>1799</v>
      </c>
      <c r="N2389" t="s">
        <v>1799</v>
      </c>
      <c r="O2389" s="184" t="str">
        <f>"["&amp;$C2389&amp;"]["&amp;$D2389&amp;"]["&amp;$F2389&amp;"]"</f>
        <v>[S05_BiomassInstallations][17][EnergyFossil]</v>
      </c>
    </row>
    <row r="2390" spans="1:15" x14ac:dyDescent="0.3">
      <c r="A2390" t="s">
        <v>1793</v>
      </c>
      <c r="B2390" t="s">
        <v>2290</v>
      </c>
      <c r="C2390" t="s">
        <v>2293</v>
      </c>
      <c r="D2390">
        <v>18</v>
      </c>
      <c r="E2390" t="s">
        <v>1447</v>
      </c>
      <c r="F2390" t="s">
        <v>2299</v>
      </c>
      <c r="G2390" t="s">
        <v>1892</v>
      </c>
      <c r="H2390" t="s">
        <v>1799</v>
      </c>
      <c r="I2390" t="s">
        <v>1799</v>
      </c>
      <c r="J2390">
        <v>38928.794951083197</v>
      </c>
      <c r="K2390" t="s">
        <v>1799</v>
      </c>
      <c r="L2390" t="s">
        <v>1799</v>
      </c>
      <c r="M2390" t="s">
        <v>1799</v>
      </c>
      <c r="N2390" t="s">
        <v>1799</v>
      </c>
      <c r="O2390" s="184" t="str">
        <f>"["&amp;$C2390&amp;"]["&amp;$D2390&amp;"]["&amp;$F2390&amp;"]"</f>
        <v>[S05_BiomassInstallations][18][EnergyFossil]</v>
      </c>
    </row>
    <row r="2391" spans="1:15" x14ac:dyDescent="0.3">
      <c r="A2391" t="s">
        <v>1793</v>
      </c>
      <c r="B2391" t="s">
        <v>2290</v>
      </c>
      <c r="C2391" t="s">
        <v>2293</v>
      </c>
      <c r="D2391">
        <v>19</v>
      </c>
      <c r="E2391" t="s">
        <v>1447</v>
      </c>
      <c r="F2391" t="s">
        <v>2299</v>
      </c>
      <c r="G2391" t="s">
        <v>1892</v>
      </c>
      <c r="H2391" t="s">
        <v>1799</v>
      </c>
      <c r="I2391" t="s">
        <v>1799</v>
      </c>
      <c r="J2391">
        <v>20454.923108208</v>
      </c>
      <c r="K2391" t="s">
        <v>1799</v>
      </c>
      <c r="L2391" t="s">
        <v>1799</v>
      </c>
      <c r="M2391" t="s">
        <v>1799</v>
      </c>
      <c r="N2391" t="s">
        <v>1799</v>
      </c>
      <c r="O2391" s="184" t="str">
        <f>"["&amp;$C2391&amp;"]["&amp;$D2391&amp;"]["&amp;$F2391&amp;"]"</f>
        <v>[S05_BiomassInstallations][19][EnergyFossil]</v>
      </c>
    </row>
    <row r="2392" spans="1:15" x14ac:dyDescent="0.3">
      <c r="A2392" t="s">
        <v>1793</v>
      </c>
      <c r="B2392" t="s">
        <v>2290</v>
      </c>
      <c r="C2392" t="s">
        <v>2293</v>
      </c>
      <c r="D2392">
        <v>20</v>
      </c>
      <c r="E2392" t="s">
        <v>1447</v>
      </c>
      <c r="F2392" t="s">
        <v>2299</v>
      </c>
      <c r="G2392" t="s">
        <v>1892</v>
      </c>
      <c r="H2392" t="s">
        <v>1799</v>
      </c>
      <c r="I2392" t="s">
        <v>1799</v>
      </c>
      <c r="J2392">
        <v>81418.676625357504</v>
      </c>
      <c r="K2392" t="s">
        <v>1799</v>
      </c>
      <c r="L2392" t="s">
        <v>1799</v>
      </c>
      <c r="M2392" t="s">
        <v>1799</v>
      </c>
      <c r="N2392" t="s">
        <v>1799</v>
      </c>
      <c r="O2392" s="184" t="str">
        <f>"["&amp;$C2392&amp;"]["&amp;$D2392&amp;"]["&amp;$F2392&amp;"]"</f>
        <v>[S05_BiomassInstallations][20][EnergyFossil]</v>
      </c>
    </row>
    <row r="2393" spans="1:15" x14ac:dyDescent="0.3">
      <c r="A2393" t="s">
        <v>1793</v>
      </c>
      <c r="B2393" t="s">
        <v>2290</v>
      </c>
      <c r="C2393" t="s">
        <v>2293</v>
      </c>
      <c r="D2393">
        <v>21</v>
      </c>
      <c r="E2393" t="s">
        <v>1447</v>
      </c>
      <c r="F2393" t="s">
        <v>2299</v>
      </c>
      <c r="G2393" t="s">
        <v>1892</v>
      </c>
      <c r="H2393" t="s">
        <v>1799</v>
      </c>
      <c r="I2393" t="s">
        <v>1799</v>
      </c>
      <c r="J2393">
        <v>633969.97251568001</v>
      </c>
      <c r="K2393" t="s">
        <v>1799</v>
      </c>
      <c r="L2393" t="s">
        <v>1799</v>
      </c>
      <c r="M2393" t="s">
        <v>1799</v>
      </c>
      <c r="N2393" t="s">
        <v>1799</v>
      </c>
      <c r="O2393" s="184" t="str">
        <f>"["&amp;$C2393&amp;"]["&amp;$D2393&amp;"]["&amp;$F2393&amp;"]"</f>
        <v>[S05_BiomassInstallations][21][EnergyFossil]</v>
      </c>
    </row>
    <row r="2394" spans="1:15" x14ac:dyDescent="0.3">
      <c r="A2394" t="s">
        <v>1793</v>
      </c>
      <c r="B2394" t="s">
        <v>2290</v>
      </c>
      <c r="C2394" t="s">
        <v>2293</v>
      </c>
      <c r="D2394">
        <v>22</v>
      </c>
      <c r="E2394" t="s">
        <v>1447</v>
      </c>
      <c r="F2394" t="s">
        <v>2299</v>
      </c>
      <c r="G2394" t="s">
        <v>1892</v>
      </c>
      <c r="H2394" t="s">
        <v>1799</v>
      </c>
      <c r="I2394" t="s">
        <v>1799</v>
      </c>
      <c r="J2394">
        <v>260.934585803147</v>
      </c>
      <c r="K2394" t="s">
        <v>1799</v>
      </c>
      <c r="L2394" t="s">
        <v>1799</v>
      </c>
      <c r="M2394" t="s">
        <v>1799</v>
      </c>
      <c r="N2394" t="s">
        <v>1799</v>
      </c>
      <c r="O2394" s="184" t="str">
        <f>"["&amp;$C2394&amp;"]["&amp;$D2394&amp;"]["&amp;$F2394&amp;"]"</f>
        <v>[S05_BiomassInstallations][22][EnergyFossil]</v>
      </c>
    </row>
    <row r="2395" spans="1:15" x14ac:dyDescent="0.3">
      <c r="A2395" t="s">
        <v>1793</v>
      </c>
      <c r="B2395" t="s">
        <v>2290</v>
      </c>
      <c r="C2395" t="s">
        <v>2293</v>
      </c>
      <c r="D2395">
        <v>23</v>
      </c>
      <c r="E2395" t="s">
        <v>1447</v>
      </c>
      <c r="F2395" t="s">
        <v>2299</v>
      </c>
      <c r="G2395" t="s">
        <v>1892</v>
      </c>
      <c r="H2395" t="s">
        <v>1799</v>
      </c>
      <c r="I2395" t="s">
        <v>1799</v>
      </c>
      <c r="J2395">
        <v>-2043.65262430297</v>
      </c>
      <c r="K2395" t="s">
        <v>1799</v>
      </c>
      <c r="L2395" t="s">
        <v>1799</v>
      </c>
      <c r="M2395" t="s">
        <v>1799</v>
      </c>
      <c r="N2395" t="s">
        <v>1799</v>
      </c>
      <c r="O2395" s="184" t="str">
        <f>"["&amp;$C2395&amp;"]["&amp;$D2395&amp;"]["&amp;$F2395&amp;"]"</f>
        <v>[S05_BiomassInstallations][23][EnergyFossil]</v>
      </c>
    </row>
    <row r="2396" spans="1:15" x14ac:dyDescent="0.3">
      <c r="A2396" t="s">
        <v>1793</v>
      </c>
      <c r="B2396" t="s">
        <v>2290</v>
      </c>
      <c r="C2396" t="s">
        <v>2293</v>
      </c>
      <c r="D2396">
        <v>24</v>
      </c>
      <c r="E2396" t="s">
        <v>1447</v>
      </c>
      <c r="F2396" t="s">
        <v>2299</v>
      </c>
      <c r="G2396" t="s">
        <v>1892</v>
      </c>
      <c r="H2396" t="s">
        <v>1799</v>
      </c>
      <c r="I2396" t="s">
        <v>1799</v>
      </c>
      <c r="J2396">
        <v>4520.9075938599999</v>
      </c>
      <c r="K2396" t="s">
        <v>1799</v>
      </c>
      <c r="L2396" t="s">
        <v>1799</v>
      </c>
      <c r="M2396" t="s">
        <v>1799</v>
      </c>
      <c r="N2396" t="s">
        <v>1799</v>
      </c>
      <c r="O2396" s="184" t="str">
        <f>"["&amp;$C2396&amp;"]["&amp;$D2396&amp;"]["&amp;$F2396&amp;"]"</f>
        <v>[S05_BiomassInstallations][24][EnergyFossil]</v>
      </c>
    </row>
    <row r="2397" spans="1:15" x14ac:dyDescent="0.3">
      <c r="A2397" t="s">
        <v>1793</v>
      </c>
      <c r="B2397" t="s">
        <v>2290</v>
      </c>
      <c r="C2397" t="s">
        <v>2293</v>
      </c>
      <c r="D2397">
        <v>25</v>
      </c>
      <c r="E2397" t="s">
        <v>1447</v>
      </c>
      <c r="F2397" t="s">
        <v>2299</v>
      </c>
      <c r="G2397" t="s">
        <v>1892</v>
      </c>
      <c r="H2397" t="s">
        <v>1799</v>
      </c>
      <c r="I2397" t="s">
        <v>1799</v>
      </c>
      <c r="J2397">
        <v>1088.9249711197999</v>
      </c>
      <c r="K2397" t="s">
        <v>1799</v>
      </c>
      <c r="L2397" t="s">
        <v>1799</v>
      </c>
      <c r="M2397" t="s">
        <v>1799</v>
      </c>
      <c r="N2397" t="s">
        <v>1799</v>
      </c>
      <c r="O2397" s="184" t="str">
        <f>"["&amp;$C2397&amp;"]["&amp;$D2397&amp;"]["&amp;$F2397&amp;"]"</f>
        <v>[S05_BiomassInstallations][25][EnergyFossil]</v>
      </c>
    </row>
    <row r="2398" spans="1:15" x14ac:dyDescent="0.3">
      <c r="A2398" t="s">
        <v>1793</v>
      </c>
      <c r="B2398" t="s">
        <v>2290</v>
      </c>
      <c r="C2398" t="s">
        <v>2293</v>
      </c>
      <c r="D2398">
        <v>26</v>
      </c>
      <c r="E2398" t="s">
        <v>1447</v>
      </c>
      <c r="F2398" t="s">
        <v>2299</v>
      </c>
      <c r="G2398" t="s">
        <v>1892</v>
      </c>
      <c r="H2398" t="s">
        <v>1799</v>
      </c>
      <c r="I2398" t="s">
        <v>1799</v>
      </c>
      <c r="J2398">
        <v>33192.240908532098</v>
      </c>
      <c r="K2398" t="s">
        <v>1799</v>
      </c>
      <c r="L2398" t="s">
        <v>1799</v>
      </c>
      <c r="M2398" t="s">
        <v>1799</v>
      </c>
      <c r="N2398" t="s">
        <v>1799</v>
      </c>
      <c r="O2398" s="184" t="str">
        <f>"["&amp;$C2398&amp;"]["&amp;$D2398&amp;"]["&amp;$F2398&amp;"]"</f>
        <v>[S05_BiomassInstallations][26][EnergyFossil]</v>
      </c>
    </row>
    <row r="2399" spans="1:15" x14ac:dyDescent="0.3">
      <c r="A2399" t="s">
        <v>1793</v>
      </c>
      <c r="B2399" t="s">
        <v>2300</v>
      </c>
      <c r="C2399" t="s">
        <v>2301</v>
      </c>
      <c r="D2399">
        <v>0</v>
      </c>
      <c r="E2399" t="s">
        <v>1447</v>
      </c>
      <c r="F2399" t="s">
        <v>2301</v>
      </c>
      <c r="G2399" t="s">
        <v>1892</v>
      </c>
      <c r="H2399" t="s">
        <v>1799</v>
      </c>
      <c r="I2399" t="s">
        <v>1799</v>
      </c>
      <c r="J2399">
        <v>5622427.9960000003</v>
      </c>
      <c r="K2399" t="s">
        <v>1799</v>
      </c>
      <c r="L2399" t="s">
        <v>1799</v>
      </c>
      <c r="M2399" t="s">
        <v>1799</v>
      </c>
      <c r="N2399" t="s">
        <v>1799</v>
      </c>
      <c r="O2399" s="184" t="str">
        <f>"["&amp;$C2399&amp;"]["&amp;$D2399&amp;"]["&amp;$F2399&amp;"]"</f>
        <v>[WasteFuelFossilCO2][0][WasteFuelFossilCO2]</v>
      </c>
    </row>
    <row r="2400" spans="1:15" x14ac:dyDescent="0.3">
      <c r="A2400" t="s">
        <v>1793</v>
      </c>
      <c r="B2400" t="s">
        <v>2302</v>
      </c>
      <c r="C2400" t="s">
        <v>2303</v>
      </c>
      <c r="D2400">
        <v>0</v>
      </c>
      <c r="E2400" t="s">
        <v>1447</v>
      </c>
      <c r="F2400" t="s">
        <v>2303</v>
      </c>
      <c r="G2400" t="s">
        <v>1826</v>
      </c>
      <c r="H2400" t="s">
        <v>1799</v>
      </c>
      <c r="I2400" t="s">
        <v>1799</v>
      </c>
      <c r="J2400" t="s">
        <v>1799</v>
      </c>
      <c r="K2400" t="s">
        <v>1799</v>
      </c>
      <c r="L2400" t="s">
        <v>1447</v>
      </c>
      <c r="M2400" t="s">
        <v>1799</v>
      </c>
      <c r="N2400" t="s">
        <v>1799</v>
      </c>
      <c r="O2400" s="184" t="str">
        <f>"["&amp;$C2400&amp;"]["&amp;$D2400&amp;"]["&amp;$F2400&amp;"]"</f>
        <v>[SimplifiedMonitoringArt13][0][SimplifiedMonitoringArt13]</v>
      </c>
    </row>
    <row r="2401" spans="1:15" x14ac:dyDescent="0.3">
      <c r="A2401" t="s">
        <v>1793</v>
      </c>
      <c r="B2401" t="s">
        <v>2304</v>
      </c>
      <c r="C2401" t="s">
        <v>2305</v>
      </c>
      <c r="D2401">
        <v>1</v>
      </c>
      <c r="E2401" t="s">
        <v>1447</v>
      </c>
      <c r="F2401" t="s">
        <v>2306</v>
      </c>
      <c r="G2401" t="s">
        <v>1811</v>
      </c>
      <c r="H2401" t="s">
        <v>1799</v>
      </c>
      <c r="I2401">
        <v>1</v>
      </c>
      <c r="J2401" t="s">
        <v>1799</v>
      </c>
      <c r="K2401" t="s">
        <v>1799</v>
      </c>
      <c r="L2401" t="s">
        <v>1799</v>
      </c>
      <c r="M2401" t="s">
        <v>1799</v>
      </c>
      <c r="N2401" t="s">
        <v>1799</v>
      </c>
      <c r="O2401" s="184" t="str">
        <f>"["&amp;$C2401&amp;"]["&amp;$D2401&amp;"]["&amp;$F2401&amp;"]"</f>
        <v>[S05_AircraftMethodFuelConsumption][1][CountAircraftOperators]</v>
      </c>
    </row>
    <row r="2402" spans="1:15" x14ac:dyDescent="0.3">
      <c r="A2402" t="s">
        <v>1793</v>
      </c>
      <c r="B2402" t="s">
        <v>2304</v>
      </c>
      <c r="C2402" t="s">
        <v>2305</v>
      </c>
      <c r="D2402">
        <v>2</v>
      </c>
      <c r="E2402" t="s">
        <v>1447</v>
      </c>
      <c r="F2402" t="s">
        <v>2306</v>
      </c>
      <c r="G2402" t="s">
        <v>1811</v>
      </c>
      <c r="H2402" t="s">
        <v>1799</v>
      </c>
      <c r="I2402">
        <v>44</v>
      </c>
      <c r="J2402" t="s">
        <v>1799</v>
      </c>
      <c r="K2402" t="s">
        <v>1799</v>
      </c>
      <c r="L2402" t="s">
        <v>1799</v>
      </c>
      <c r="M2402" t="s">
        <v>1799</v>
      </c>
      <c r="N2402" t="s">
        <v>1799</v>
      </c>
      <c r="O2402" s="184" t="str">
        <f>"["&amp;$C2402&amp;"]["&amp;$D2402&amp;"]["&amp;$F2402&amp;"]"</f>
        <v>[S05_AircraftMethodFuelConsumption][2][CountAircraftOperators]</v>
      </c>
    </row>
    <row r="2403" spans="1:15" x14ac:dyDescent="0.3">
      <c r="A2403" t="s">
        <v>1793</v>
      </c>
      <c r="B2403" t="s">
        <v>2304</v>
      </c>
      <c r="C2403" t="s">
        <v>2305</v>
      </c>
      <c r="D2403">
        <v>3</v>
      </c>
      <c r="E2403" t="s">
        <v>1447</v>
      </c>
      <c r="F2403" t="s">
        <v>2306</v>
      </c>
      <c r="G2403" t="s">
        <v>1811</v>
      </c>
      <c r="H2403" t="s">
        <v>1799</v>
      </c>
      <c r="I2403">
        <v>0</v>
      </c>
      <c r="J2403" t="s">
        <v>1799</v>
      </c>
      <c r="K2403" t="s">
        <v>1799</v>
      </c>
      <c r="L2403" t="s">
        <v>1799</v>
      </c>
      <c r="M2403" t="s">
        <v>1799</v>
      </c>
      <c r="N2403" t="s">
        <v>1799</v>
      </c>
      <c r="O2403" s="184" t="str">
        <f>"["&amp;$C2403&amp;"]["&amp;$D2403&amp;"]["&amp;$F2403&amp;"]"</f>
        <v>[S05_AircraftMethodFuelConsumption][3][CountAircraftOperators]</v>
      </c>
    </row>
    <row r="2404" spans="1:15" x14ac:dyDescent="0.3">
      <c r="A2404" t="s">
        <v>1793</v>
      </c>
      <c r="B2404" t="s">
        <v>2304</v>
      </c>
      <c r="C2404" t="s">
        <v>2305</v>
      </c>
      <c r="D2404">
        <v>1</v>
      </c>
      <c r="E2404" t="s">
        <v>1447</v>
      </c>
      <c r="F2404" t="s">
        <v>2307</v>
      </c>
      <c r="G2404" t="s">
        <v>1892</v>
      </c>
      <c r="H2404" t="s">
        <v>1799</v>
      </c>
      <c r="I2404" t="s">
        <v>1799</v>
      </c>
      <c r="J2404">
        <v>0</v>
      </c>
      <c r="K2404" t="s">
        <v>1799</v>
      </c>
      <c r="L2404" t="s">
        <v>1799</v>
      </c>
      <c r="M2404" t="s">
        <v>1799</v>
      </c>
      <c r="N2404" t="s">
        <v>1799</v>
      </c>
      <c r="O2404" s="184" t="str">
        <f>"["&amp;$C2404&amp;"]["&amp;$D2404&amp;"]["&amp;$F2404&amp;"]"</f>
        <v>[S05_AircraftMethodFuelConsumption][1][SmallEmittersShare]</v>
      </c>
    </row>
    <row r="2405" spans="1:15" x14ac:dyDescent="0.3">
      <c r="A2405" t="s">
        <v>1793</v>
      </c>
      <c r="B2405" t="s">
        <v>2304</v>
      </c>
      <c r="C2405" t="s">
        <v>2305</v>
      </c>
      <c r="D2405">
        <v>2</v>
      </c>
      <c r="E2405" t="s">
        <v>1447</v>
      </c>
      <c r="F2405" t="s">
        <v>2307</v>
      </c>
      <c r="G2405" t="s">
        <v>1892</v>
      </c>
      <c r="H2405" t="s">
        <v>1799</v>
      </c>
      <c r="I2405" t="s">
        <v>1799</v>
      </c>
      <c r="J2405">
        <v>4.5400000000000003E-2</v>
      </c>
      <c r="K2405" t="s">
        <v>1799</v>
      </c>
      <c r="L2405" t="s">
        <v>1799</v>
      </c>
      <c r="M2405" t="s">
        <v>1799</v>
      </c>
      <c r="N2405" t="s">
        <v>1799</v>
      </c>
      <c r="O2405" s="184" t="str">
        <f>"["&amp;$C2405&amp;"]["&amp;$D2405&amp;"]["&amp;$F2405&amp;"]"</f>
        <v>[S05_AircraftMethodFuelConsumption][2][SmallEmittersShare]</v>
      </c>
    </row>
    <row r="2406" spans="1:15" x14ac:dyDescent="0.3">
      <c r="A2406" t="s">
        <v>1793</v>
      </c>
      <c r="B2406" t="s">
        <v>2304</v>
      </c>
      <c r="C2406" t="s">
        <v>2305</v>
      </c>
      <c r="D2406">
        <v>3</v>
      </c>
      <c r="E2406" t="s">
        <v>1447</v>
      </c>
      <c r="F2406" t="s">
        <v>2307</v>
      </c>
      <c r="G2406" t="s">
        <v>1892</v>
      </c>
      <c r="H2406" t="s">
        <v>1799</v>
      </c>
      <c r="I2406" t="s">
        <v>1799</v>
      </c>
      <c r="J2406">
        <v>0</v>
      </c>
      <c r="K2406" t="s">
        <v>1799</v>
      </c>
      <c r="L2406" t="s">
        <v>1799</v>
      </c>
      <c r="M2406" t="s">
        <v>1799</v>
      </c>
      <c r="N2406" t="s">
        <v>1799</v>
      </c>
      <c r="O2406" s="184" t="str">
        <f>"["&amp;$C2406&amp;"]["&amp;$D2406&amp;"]["&amp;$F2406&amp;"]"</f>
        <v>[S05_AircraftMethodFuelConsumption][3][SmallEmittersShare]</v>
      </c>
    </row>
    <row r="2407" spans="1:15" x14ac:dyDescent="0.3">
      <c r="A2407" t="s">
        <v>1793</v>
      </c>
      <c r="B2407" t="s">
        <v>2308</v>
      </c>
      <c r="C2407" t="s">
        <v>2309</v>
      </c>
      <c r="D2407">
        <v>1</v>
      </c>
      <c r="E2407" t="s">
        <v>1447</v>
      </c>
      <c r="F2407" t="s">
        <v>2310</v>
      </c>
      <c r="G2407" t="s">
        <v>1892</v>
      </c>
      <c r="H2407" t="s">
        <v>1799</v>
      </c>
      <c r="I2407" t="s">
        <v>1799</v>
      </c>
      <c r="J2407">
        <v>4652199</v>
      </c>
      <c r="K2407" t="s">
        <v>1799</v>
      </c>
      <c r="L2407" t="s">
        <v>1799</v>
      </c>
      <c r="M2407" t="s">
        <v>1799</v>
      </c>
      <c r="N2407" t="s">
        <v>1799</v>
      </c>
      <c r="O2407" s="184" t="str">
        <f>"["&amp;$C2407&amp;"]["&amp;$D2407&amp;"]["&amp;$F2407&amp;"]"</f>
        <v>[S05_TotalFlightEmissions][1][TotalFlightEmissions]</v>
      </c>
    </row>
    <row r="2408" spans="1:15" x14ac:dyDescent="0.3">
      <c r="A2408" t="s">
        <v>1793</v>
      </c>
      <c r="B2408" t="s">
        <v>2308</v>
      </c>
      <c r="C2408" t="s">
        <v>2309</v>
      </c>
      <c r="D2408">
        <v>2</v>
      </c>
      <c r="E2408" t="s">
        <v>1447</v>
      </c>
      <c r="F2408" t="s">
        <v>2310</v>
      </c>
      <c r="G2408" t="s">
        <v>1892</v>
      </c>
      <c r="H2408" t="s">
        <v>1799</v>
      </c>
      <c r="I2408" t="s">
        <v>1799</v>
      </c>
      <c r="J2408">
        <v>546011</v>
      </c>
      <c r="K2408" t="s">
        <v>1799</v>
      </c>
      <c r="L2408" t="s">
        <v>1799</v>
      </c>
      <c r="M2408" t="s">
        <v>1799</v>
      </c>
      <c r="N2408" t="s">
        <v>1799</v>
      </c>
      <c r="O2408" s="184" t="str">
        <f>"["&amp;$C2408&amp;"]["&amp;$D2408&amp;"]["&amp;$F2408&amp;"]"</f>
        <v>[S05_TotalFlightEmissions][2][TotalFlightEmissions]</v>
      </c>
    </row>
    <row r="2409" spans="1:15" x14ac:dyDescent="0.3">
      <c r="A2409" t="s">
        <v>1793</v>
      </c>
      <c r="B2409" t="s">
        <v>2308</v>
      </c>
      <c r="C2409" t="s">
        <v>2309</v>
      </c>
      <c r="D2409">
        <v>3</v>
      </c>
      <c r="E2409" t="s">
        <v>1447</v>
      </c>
      <c r="F2409" t="s">
        <v>2310</v>
      </c>
      <c r="G2409" t="s">
        <v>1892</v>
      </c>
      <c r="H2409" t="s">
        <v>1799</v>
      </c>
      <c r="I2409" t="s">
        <v>1799</v>
      </c>
      <c r="J2409">
        <v>14361630</v>
      </c>
      <c r="K2409" t="s">
        <v>1799</v>
      </c>
      <c r="L2409" t="s">
        <v>1799</v>
      </c>
      <c r="M2409" t="s">
        <v>1799</v>
      </c>
      <c r="N2409" t="s">
        <v>1799</v>
      </c>
      <c r="O2409" s="184" t="str">
        <f>"["&amp;$C2409&amp;"]["&amp;$D2409&amp;"]["&amp;$F2409&amp;"]"</f>
        <v>[S05_TotalFlightEmissions][3][TotalFlightEmissions]</v>
      </c>
    </row>
    <row r="2410" spans="1:15" x14ac:dyDescent="0.3">
      <c r="A2410" t="s">
        <v>1793</v>
      </c>
      <c r="B2410" t="s">
        <v>2308</v>
      </c>
      <c r="C2410" t="s">
        <v>2309</v>
      </c>
      <c r="D2410">
        <v>4</v>
      </c>
      <c r="E2410" t="s">
        <v>1447</v>
      </c>
      <c r="F2410" t="s">
        <v>2310</v>
      </c>
      <c r="G2410" t="s">
        <v>1892</v>
      </c>
      <c r="H2410" t="s">
        <v>1799</v>
      </c>
      <c r="I2410" t="s">
        <v>1799</v>
      </c>
      <c r="J2410">
        <v>10943794</v>
      </c>
      <c r="K2410" t="s">
        <v>1799</v>
      </c>
      <c r="L2410" t="s">
        <v>1799</v>
      </c>
      <c r="M2410" t="s">
        <v>1799</v>
      </c>
      <c r="N2410" t="s">
        <v>1799</v>
      </c>
      <c r="O2410" s="184" t="str">
        <f>"["&amp;$C2410&amp;"]["&amp;$D2410&amp;"]["&amp;$F2410&amp;"]"</f>
        <v>[S05_TotalFlightEmissions][4][TotalFlightEmissions]</v>
      </c>
    </row>
    <row r="2411" spans="1:15" x14ac:dyDescent="0.3">
      <c r="A2411" t="s">
        <v>1793</v>
      </c>
      <c r="B2411" t="s">
        <v>2308</v>
      </c>
      <c r="C2411" t="s">
        <v>2309</v>
      </c>
      <c r="D2411">
        <v>5</v>
      </c>
      <c r="E2411" t="s">
        <v>1447</v>
      </c>
      <c r="F2411" t="s">
        <v>2310</v>
      </c>
      <c r="G2411" t="s">
        <v>1892</v>
      </c>
      <c r="H2411" t="s">
        <v>1799</v>
      </c>
      <c r="I2411" t="s">
        <v>1799</v>
      </c>
      <c r="J2411">
        <v>37422</v>
      </c>
      <c r="K2411" t="s">
        <v>1799</v>
      </c>
      <c r="L2411" t="s">
        <v>1799</v>
      </c>
      <c r="M2411" t="s">
        <v>1799</v>
      </c>
      <c r="N2411" t="s">
        <v>1799</v>
      </c>
      <c r="O2411" s="184" t="str">
        <f>"["&amp;$C2411&amp;"]["&amp;$D2411&amp;"]["&amp;$F2411&amp;"]"</f>
        <v>[S05_TotalFlightEmissions][5][TotalFlightEmissions]</v>
      </c>
    </row>
    <row r="2412" spans="1:15" x14ac:dyDescent="0.3">
      <c r="A2412" t="s">
        <v>1793</v>
      </c>
      <c r="B2412" t="s">
        <v>2308</v>
      </c>
      <c r="C2412" t="s">
        <v>2311</v>
      </c>
      <c r="D2412">
        <v>0</v>
      </c>
      <c r="E2412" t="s">
        <v>1447</v>
      </c>
      <c r="F2412" t="s">
        <v>2311</v>
      </c>
      <c r="G2412" t="s">
        <v>1811</v>
      </c>
      <c r="H2412" t="s">
        <v>1799</v>
      </c>
      <c r="I2412">
        <v>15</v>
      </c>
      <c r="J2412" t="s">
        <v>1799</v>
      </c>
      <c r="K2412" t="s">
        <v>1799</v>
      </c>
      <c r="L2412" t="s">
        <v>1799</v>
      </c>
      <c r="M2412" t="s">
        <v>1799</v>
      </c>
      <c r="N2412" t="s">
        <v>1799</v>
      </c>
      <c r="O2412" s="184" t="str">
        <f>"["&amp;$C2412&amp;"]["&amp;$D2412&amp;"]["&amp;$F2412&amp;"]"</f>
        <v>[CountOperatorsThirdCountries][0][CountOperatorsThirdCountries]</v>
      </c>
    </row>
    <row r="2413" spans="1:15" x14ac:dyDescent="0.3">
      <c r="A2413" t="s">
        <v>1793</v>
      </c>
      <c r="B2413" t="s">
        <v>2312</v>
      </c>
      <c r="C2413" t="s">
        <v>2313</v>
      </c>
      <c r="D2413">
        <v>0</v>
      </c>
      <c r="E2413" t="s">
        <v>1447</v>
      </c>
      <c r="F2413" t="s">
        <v>2313</v>
      </c>
      <c r="G2413" t="s">
        <v>1811</v>
      </c>
      <c r="H2413" t="s">
        <v>1799</v>
      </c>
      <c r="I2413">
        <v>0</v>
      </c>
      <c r="J2413" t="s">
        <v>1799</v>
      </c>
      <c r="K2413" t="s">
        <v>1799</v>
      </c>
      <c r="L2413" t="s">
        <v>1799</v>
      </c>
      <c r="M2413" t="s">
        <v>1799</v>
      </c>
      <c r="N2413" t="s">
        <v>1799</v>
      </c>
      <c r="O2413" s="184" t="str">
        <f>"["&amp;$C2413&amp;"]["&amp;$D2413&amp;"]["&amp;$F2413&amp;"]"</f>
        <v>[CountOperatorsUsingBiofuels][0][CountOperatorsUsingBiofuels]</v>
      </c>
    </row>
    <row r="2414" spans="1:15" x14ac:dyDescent="0.3">
      <c r="A2414" t="s">
        <v>1793</v>
      </c>
      <c r="B2414" t="s">
        <v>2314</v>
      </c>
      <c r="C2414" t="s">
        <v>2315</v>
      </c>
      <c r="D2414">
        <v>1</v>
      </c>
      <c r="E2414" t="s">
        <v>1447</v>
      </c>
      <c r="F2414" t="s">
        <v>2316</v>
      </c>
      <c r="G2414" t="s">
        <v>1811</v>
      </c>
      <c r="H2414" t="s">
        <v>1799</v>
      </c>
      <c r="I2414">
        <v>3</v>
      </c>
      <c r="J2414" t="s">
        <v>1799</v>
      </c>
      <c r="K2414" t="s">
        <v>1799</v>
      </c>
      <c r="L2414" t="s">
        <v>1799</v>
      </c>
      <c r="M2414" t="s">
        <v>1799</v>
      </c>
      <c r="N2414" t="s">
        <v>1799</v>
      </c>
      <c r="O2414" s="184" t="str">
        <f>"["&amp;$C2414&amp;"]["&amp;$D2414&amp;"]["&amp;$F2414&amp;"]"</f>
        <v>[S05_SmallEmittersTool][1][CountSmallEmitters]</v>
      </c>
    </row>
    <row r="2415" spans="1:15" x14ac:dyDescent="0.3">
      <c r="A2415" t="s">
        <v>1793</v>
      </c>
      <c r="B2415" t="s">
        <v>2314</v>
      </c>
      <c r="C2415" t="s">
        <v>2315</v>
      </c>
      <c r="D2415">
        <v>2</v>
      </c>
      <c r="E2415" t="s">
        <v>1447</v>
      </c>
      <c r="F2415" t="s">
        <v>2316</v>
      </c>
      <c r="G2415" t="s">
        <v>1811</v>
      </c>
      <c r="H2415" t="s">
        <v>1799</v>
      </c>
      <c r="I2415">
        <v>16</v>
      </c>
      <c r="J2415" t="s">
        <v>1799</v>
      </c>
      <c r="K2415" t="s">
        <v>1799</v>
      </c>
      <c r="L2415" t="s">
        <v>1799</v>
      </c>
      <c r="M2415" t="s">
        <v>1799</v>
      </c>
      <c r="N2415" t="s">
        <v>1799</v>
      </c>
      <c r="O2415" s="184" t="str">
        <f>"["&amp;$C2415&amp;"]["&amp;$D2415&amp;"]["&amp;$F2415&amp;"]"</f>
        <v>[S05_SmallEmittersTool][2][CountSmallEmitters]</v>
      </c>
    </row>
    <row r="2416" spans="1:15" x14ac:dyDescent="0.3">
      <c r="A2416" t="s">
        <v>1793</v>
      </c>
      <c r="B2416" t="s">
        <v>2314</v>
      </c>
      <c r="C2416" t="s">
        <v>2315</v>
      </c>
      <c r="D2416">
        <v>3</v>
      </c>
      <c r="E2416" t="s">
        <v>1447</v>
      </c>
      <c r="F2416" t="s">
        <v>2316</v>
      </c>
      <c r="G2416" t="s">
        <v>1811</v>
      </c>
      <c r="H2416" t="s">
        <v>1799</v>
      </c>
      <c r="I2416">
        <v>7</v>
      </c>
      <c r="J2416" t="s">
        <v>1799</v>
      </c>
      <c r="K2416" t="s">
        <v>1799</v>
      </c>
      <c r="L2416" t="s">
        <v>1799</v>
      </c>
      <c r="M2416" t="s">
        <v>1799</v>
      </c>
      <c r="N2416" t="s">
        <v>1799</v>
      </c>
      <c r="O2416" s="184" t="str">
        <f>"["&amp;$C2416&amp;"]["&amp;$D2416&amp;"]["&amp;$F2416&amp;"]"</f>
        <v>[S05_SmallEmittersTool][3][CountSmallEmitters]</v>
      </c>
    </row>
    <row r="2417" spans="1:15" x14ac:dyDescent="0.3">
      <c r="A2417" t="s">
        <v>1793</v>
      </c>
      <c r="B2417" t="s">
        <v>2314</v>
      </c>
      <c r="C2417" t="s">
        <v>2315</v>
      </c>
      <c r="D2417">
        <v>4</v>
      </c>
      <c r="E2417" t="s">
        <v>1447</v>
      </c>
      <c r="F2417" t="s">
        <v>2316</v>
      </c>
      <c r="G2417" t="s">
        <v>1811</v>
      </c>
      <c r="H2417" t="s">
        <v>1799</v>
      </c>
      <c r="I2417">
        <v>7</v>
      </c>
      <c r="J2417" t="s">
        <v>1799</v>
      </c>
      <c r="K2417" t="s">
        <v>1799</v>
      </c>
      <c r="L2417" t="s">
        <v>1799</v>
      </c>
      <c r="M2417" t="s">
        <v>1799</v>
      </c>
      <c r="N2417" t="s">
        <v>1799</v>
      </c>
      <c r="O2417" s="184" t="str">
        <f>"["&amp;$C2417&amp;"]["&amp;$D2417&amp;"]["&amp;$F2417&amp;"]"</f>
        <v>[S05_SmallEmittersTool][4][CountSmallEmitters]</v>
      </c>
    </row>
    <row r="2418" spans="1:15" x14ac:dyDescent="0.3">
      <c r="A2418" t="s">
        <v>1793</v>
      </c>
      <c r="B2418" t="s">
        <v>2317</v>
      </c>
      <c r="C2418" t="s">
        <v>2318</v>
      </c>
      <c r="D2418">
        <v>0</v>
      </c>
      <c r="E2418" t="s">
        <v>1447</v>
      </c>
      <c r="F2418" t="s">
        <v>2318</v>
      </c>
      <c r="G2418" t="s">
        <v>1811</v>
      </c>
      <c r="H2418" t="s">
        <v>1799</v>
      </c>
      <c r="I2418">
        <v>6</v>
      </c>
      <c r="J2418" t="s">
        <v>1799</v>
      </c>
      <c r="K2418" t="s">
        <v>1799</v>
      </c>
      <c r="L2418" t="s">
        <v>1799</v>
      </c>
      <c r="M2418" t="s">
        <v>1799</v>
      </c>
      <c r="N2418" t="s">
        <v>1799</v>
      </c>
      <c r="O2418" s="184" t="str">
        <f>"["&amp;$C2418&amp;"]["&amp;$D2418&amp;"]["&amp;$F2418&amp;"]"</f>
        <v>[AircraftImprovementReportRequired][0][AircraftImprovementReportRequired]</v>
      </c>
    </row>
    <row r="2419" spans="1:15" x14ac:dyDescent="0.3">
      <c r="A2419" t="s">
        <v>1793</v>
      </c>
      <c r="B2419" t="s">
        <v>2317</v>
      </c>
      <c r="C2419" t="s">
        <v>2319</v>
      </c>
      <c r="D2419">
        <v>0</v>
      </c>
      <c r="E2419" t="s">
        <v>1447</v>
      </c>
      <c r="F2419" t="s">
        <v>2319</v>
      </c>
      <c r="G2419" t="s">
        <v>1811</v>
      </c>
      <c r="H2419" t="s">
        <v>1799</v>
      </c>
      <c r="I2419">
        <v>5</v>
      </c>
      <c r="J2419" t="s">
        <v>1799</v>
      </c>
      <c r="K2419" t="s">
        <v>1799</v>
      </c>
      <c r="L2419" t="s">
        <v>1799</v>
      </c>
      <c r="M2419" t="s">
        <v>1799</v>
      </c>
      <c r="N2419" t="s">
        <v>1799</v>
      </c>
      <c r="O2419" s="184" t="str">
        <f>"["&amp;$C2419&amp;"]["&amp;$D2419&amp;"]["&amp;$F2419&amp;"]"</f>
        <v>[AircraftImprovementReportSubmitted][0][AircraftImprovementReportSubmitted]</v>
      </c>
    </row>
    <row r="2420" spans="1:15" x14ac:dyDescent="0.3">
      <c r="A2420" t="s">
        <v>1793</v>
      </c>
      <c r="B2420" t="s">
        <v>2320</v>
      </c>
      <c r="C2420" t="s">
        <v>2321</v>
      </c>
      <c r="D2420">
        <v>0</v>
      </c>
      <c r="E2420" t="s">
        <v>1447</v>
      </c>
      <c r="F2420" t="s">
        <v>2321</v>
      </c>
      <c r="G2420" t="s">
        <v>1826</v>
      </c>
      <c r="H2420" t="s">
        <v>1799</v>
      </c>
      <c r="I2420" t="s">
        <v>1799</v>
      </c>
      <c r="J2420" t="s">
        <v>1799</v>
      </c>
      <c r="K2420" t="s">
        <v>1799</v>
      </c>
      <c r="L2420" t="s">
        <v>1447</v>
      </c>
      <c r="M2420" t="s">
        <v>1799</v>
      </c>
      <c r="N2420" t="s">
        <v>1799</v>
      </c>
      <c r="O2420" s="184" t="str">
        <f>"["&amp;$C2420&amp;"]["&amp;$D2420&amp;"]["&amp;$F2420&amp;"]"</f>
        <v>[AircraftSimplifiedMonitoringArt13][0][AircraftSimplifiedMonitoringArt13]</v>
      </c>
    </row>
    <row r="2421" spans="1:15" x14ac:dyDescent="0.3">
      <c r="A2421" t="s">
        <v>1793</v>
      </c>
      <c r="B2421" t="s">
        <v>2322</v>
      </c>
      <c r="C2421" t="s">
        <v>2323</v>
      </c>
      <c r="D2421">
        <v>1</v>
      </c>
      <c r="E2421" t="s">
        <v>1447</v>
      </c>
      <c r="F2421" t="s">
        <v>2324</v>
      </c>
      <c r="G2421" t="s">
        <v>1811</v>
      </c>
      <c r="H2421" t="s">
        <v>1799</v>
      </c>
      <c r="I2421">
        <v>16</v>
      </c>
      <c r="J2421" t="s">
        <v>1799</v>
      </c>
      <c r="K2421" t="s">
        <v>1799</v>
      </c>
      <c r="L2421" t="s">
        <v>1799</v>
      </c>
      <c r="M2421" t="s">
        <v>1799</v>
      </c>
      <c r="N2421" t="s">
        <v>1799</v>
      </c>
      <c r="O2421" s="184" t="str">
        <f>"["&amp;$C2421&amp;"]["&amp;$D2421&amp;"]["&amp;$F2421&amp;"]"</f>
        <v>[S06_TotalVerifiers][1][CountVerifiersInstallations]</v>
      </c>
    </row>
    <row r="2422" spans="1:15" x14ac:dyDescent="0.3">
      <c r="A2422" t="s">
        <v>1793</v>
      </c>
      <c r="B2422" t="s">
        <v>2322</v>
      </c>
      <c r="C2422" t="s">
        <v>2323</v>
      </c>
      <c r="D2422">
        <v>2</v>
      </c>
      <c r="E2422" t="s">
        <v>1447</v>
      </c>
      <c r="F2422" t="s">
        <v>2324</v>
      </c>
      <c r="G2422" t="s">
        <v>1811</v>
      </c>
      <c r="H2422" t="s">
        <v>1799</v>
      </c>
      <c r="I2422">
        <v>0</v>
      </c>
      <c r="J2422" t="s">
        <v>1799</v>
      </c>
      <c r="K2422" t="s">
        <v>1799</v>
      </c>
      <c r="L2422" t="s">
        <v>1799</v>
      </c>
      <c r="M2422" t="s">
        <v>1799</v>
      </c>
      <c r="N2422" t="s">
        <v>1799</v>
      </c>
      <c r="O2422" s="184" t="str">
        <f>"["&amp;$C2422&amp;"]["&amp;$D2422&amp;"]["&amp;$F2422&amp;"]"</f>
        <v>[S06_TotalVerifiers][2][CountVerifiersInstallations]</v>
      </c>
    </row>
    <row r="2423" spans="1:15" x14ac:dyDescent="0.3">
      <c r="A2423" t="s">
        <v>1793</v>
      </c>
      <c r="B2423" t="s">
        <v>2322</v>
      </c>
      <c r="C2423" t="s">
        <v>2323</v>
      </c>
      <c r="D2423">
        <v>3</v>
      </c>
      <c r="E2423" t="s">
        <v>1447</v>
      </c>
      <c r="F2423" t="s">
        <v>2324</v>
      </c>
      <c r="G2423" t="s">
        <v>1811</v>
      </c>
      <c r="H2423" t="s">
        <v>1799</v>
      </c>
      <c r="I2423">
        <v>0</v>
      </c>
      <c r="J2423" t="s">
        <v>1799</v>
      </c>
      <c r="K2423" t="s">
        <v>1799</v>
      </c>
      <c r="L2423" t="s">
        <v>1799</v>
      </c>
      <c r="M2423" t="s">
        <v>1799</v>
      </c>
      <c r="N2423" t="s">
        <v>1799</v>
      </c>
      <c r="O2423" s="184" t="str">
        <f>"["&amp;$C2423&amp;"]["&amp;$D2423&amp;"]["&amp;$F2423&amp;"]"</f>
        <v>[S06_TotalVerifiers][3][CountVerifiersInstallations]</v>
      </c>
    </row>
    <row r="2424" spans="1:15" x14ac:dyDescent="0.3">
      <c r="A2424" t="s">
        <v>1793</v>
      </c>
      <c r="B2424" t="s">
        <v>2322</v>
      </c>
      <c r="C2424" t="s">
        <v>2323</v>
      </c>
      <c r="D2424">
        <v>4</v>
      </c>
      <c r="E2424" t="s">
        <v>1447</v>
      </c>
      <c r="F2424" t="s">
        <v>2324</v>
      </c>
      <c r="G2424" t="s">
        <v>1811</v>
      </c>
      <c r="H2424" t="s">
        <v>1799</v>
      </c>
      <c r="I2424">
        <v>0</v>
      </c>
      <c r="J2424" t="s">
        <v>1799</v>
      </c>
      <c r="K2424" t="s">
        <v>1799</v>
      </c>
      <c r="L2424" t="s">
        <v>1799</v>
      </c>
      <c r="M2424" t="s">
        <v>1799</v>
      </c>
      <c r="N2424" t="s">
        <v>1799</v>
      </c>
      <c r="O2424" s="184" t="str">
        <f>"["&amp;$C2424&amp;"]["&amp;$D2424&amp;"]["&amp;$F2424&amp;"]"</f>
        <v>[S06_TotalVerifiers][4][CountVerifiersInstallations]</v>
      </c>
    </row>
    <row r="2425" spans="1:15" x14ac:dyDescent="0.3">
      <c r="A2425" t="s">
        <v>1793</v>
      </c>
      <c r="B2425" t="s">
        <v>2322</v>
      </c>
      <c r="C2425" t="s">
        <v>2323</v>
      </c>
      <c r="D2425">
        <v>4</v>
      </c>
      <c r="E2425" t="s">
        <v>1447</v>
      </c>
      <c r="F2425" t="s">
        <v>2325</v>
      </c>
      <c r="G2425" t="s">
        <v>1797</v>
      </c>
      <c r="H2425" t="s">
        <v>1954</v>
      </c>
      <c r="I2425" t="s">
        <v>1799</v>
      </c>
      <c r="J2425" t="s">
        <v>1799</v>
      </c>
      <c r="K2425" t="s">
        <v>1799</v>
      </c>
      <c r="L2425" t="s">
        <v>1799</v>
      </c>
      <c r="M2425" t="s">
        <v>1799</v>
      </c>
      <c r="N2425" t="s">
        <v>1799</v>
      </c>
      <c r="O2425" s="184" t="str">
        <f>"["&amp;$C2425&amp;"]["&amp;$D2425&amp;"]["&amp;$F2425&amp;"]"</f>
        <v>[S06_TotalVerifiers][4][MSVerifiersInstallations]</v>
      </c>
    </row>
    <row r="2426" spans="1:15" x14ac:dyDescent="0.3">
      <c r="A2426" t="s">
        <v>1793</v>
      </c>
      <c r="B2426" t="s">
        <v>2322</v>
      </c>
      <c r="C2426" t="s">
        <v>2323</v>
      </c>
      <c r="D2426">
        <v>1</v>
      </c>
      <c r="E2426" t="s">
        <v>1447</v>
      </c>
      <c r="F2426" t="s">
        <v>2326</v>
      </c>
      <c r="G2426" t="s">
        <v>1811</v>
      </c>
      <c r="H2426" t="s">
        <v>1799</v>
      </c>
      <c r="I2426">
        <v>4</v>
      </c>
      <c r="J2426" t="s">
        <v>1799</v>
      </c>
      <c r="K2426" t="s">
        <v>1799</v>
      </c>
      <c r="L2426" t="s">
        <v>1799</v>
      </c>
      <c r="M2426" t="s">
        <v>1799</v>
      </c>
      <c r="N2426" t="s">
        <v>1799</v>
      </c>
      <c r="O2426" s="184" t="str">
        <f>"["&amp;$C2426&amp;"]["&amp;$D2426&amp;"]["&amp;$F2426&amp;"]"</f>
        <v>[S06_TotalVerifiers][1][CountVerifiersAviation]</v>
      </c>
    </row>
    <row r="2427" spans="1:15" x14ac:dyDescent="0.3">
      <c r="A2427" t="s">
        <v>1793</v>
      </c>
      <c r="B2427" t="s">
        <v>2322</v>
      </c>
      <c r="C2427" t="s">
        <v>2323</v>
      </c>
      <c r="D2427">
        <v>2</v>
      </c>
      <c r="E2427" t="s">
        <v>1447</v>
      </c>
      <c r="F2427" t="s">
        <v>2326</v>
      </c>
      <c r="G2427" t="s">
        <v>1811</v>
      </c>
      <c r="H2427" t="s">
        <v>1799</v>
      </c>
      <c r="I2427">
        <v>0</v>
      </c>
      <c r="J2427" t="s">
        <v>1799</v>
      </c>
      <c r="K2427" t="s">
        <v>1799</v>
      </c>
      <c r="L2427" t="s">
        <v>1799</v>
      </c>
      <c r="M2427" t="s">
        <v>1799</v>
      </c>
      <c r="N2427" t="s">
        <v>1799</v>
      </c>
      <c r="O2427" s="184" t="str">
        <f>"["&amp;$C2427&amp;"]["&amp;$D2427&amp;"]["&amp;$F2427&amp;"]"</f>
        <v>[S06_TotalVerifiers][2][CountVerifiersAviation]</v>
      </c>
    </row>
    <row r="2428" spans="1:15" x14ac:dyDescent="0.3">
      <c r="A2428" t="s">
        <v>1793</v>
      </c>
      <c r="B2428" t="s">
        <v>2322</v>
      </c>
      <c r="C2428" t="s">
        <v>2323</v>
      </c>
      <c r="D2428">
        <v>3</v>
      </c>
      <c r="E2428" t="s">
        <v>1447</v>
      </c>
      <c r="F2428" t="s">
        <v>2327</v>
      </c>
      <c r="G2428" t="s">
        <v>1797</v>
      </c>
      <c r="H2428" t="s">
        <v>2328</v>
      </c>
      <c r="I2428" t="s">
        <v>1799</v>
      </c>
      <c r="J2428" t="s">
        <v>1799</v>
      </c>
      <c r="K2428" t="s">
        <v>1799</v>
      </c>
      <c r="L2428" t="s">
        <v>1799</v>
      </c>
      <c r="M2428" t="s">
        <v>1799</v>
      </c>
      <c r="N2428" t="s">
        <v>1799</v>
      </c>
      <c r="O2428" s="184" t="str">
        <f>"["&amp;$C2428&amp;"]["&amp;$D2428&amp;"]["&amp;$F2428&amp;"]"</f>
        <v>[S06_TotalVerifiers][3][MSVerifiersAviation]</v>
      </c>
    </row>
    <row r="2429" spans="1:15" x14ac:dyDescent="0.3">
      <c r="A2429" t="s">
        <v>1793</v>
      </c>
      <c r="B2429" t="s">
        <v>2322</v>
      </c>
      <c r="C2429" t="s">
        <v>2329</v>
      </c>
      <c r="D2429">
        <v>2</v>
      </c>
      <c r="E2429" t="s">
        <v>1447</v>
      </c>
      <c r="F2429" t="s">
        <v>2330</v>
      </c>
      <c r="G2429" t="s">
        <v>1737</v>
      </c>
      <c r="H2429" t="s">
        <v>1799</v>
      </c>
      <c r="I2429" t="s">
        <v>1799</v>
      </c>
      <c r="J2429" t="s">
        <v>1799</v>
      </c>
      <c r="K2429" t="s">
        <v>1799</v>
      </c>
      <c r="L2429" t="s">
        <v>1465</v>
      </c>
      <c r="M2429" t="s">
        <v>1799</v>
      </c>
      <c r="N2429" t="s">
        <v>1799</v>
      </c>
      <c r="O2429" s="184" t="str">
        <f>"["&amp;$C2429&amp;"]["&amp;$D2429&amp;"]["&amp;$F2429&amp;"]"</f>
        <v>[S06_AccredCertVerifiersAnnexI][2][AccredCertScope]</v>
      </c>
    </row>
    <row r="2430" spans="1:15" x14ac:dyDescent="0.3">
      <c r="A2430" t="s">
        <v>1793</v>
      </c>
      <c r="B2430" t="s">
        <v>2331</v>
      </c>
      <c r="C2430" t="s">
        <v>2332</v>
      </c>
      <c r="D2430">
        <v>1</v>
      </c>
      <c r="E2430" t="s">
        <v>1447</v>
      </c>
      <c r="F2430" t="s">
        <v>2333</v>
      </c>
      <c r="G2430" t="s">
        <v>1826</v>
      </c>
      <c r="H2430" t="s">
        <v>1799</v>
      </c>
      <c r="I2430" t="s">
        <v>1799</v>
      </c>
      <c r="J2430" t="s">
        <v>1799</v>
      </c>
      <c r="K2430" t="s">
        <v>1799</v>
      </c>
      <c r="L2430" t="s">
        <v>1419</v>
      </c>
      <c r="M2430" t="s">
        <v>1799</v>
      </c>
      <c r="N2430" t="s">
        <v>1799</v>
      </c>
      <c r="O2430" s="184" t="str">
        <f>"["&amp;$C2430&amp;"]["&amp;$D2430&amp;"]["&amp;$F2430&amp;"]"</f>
        <v>[S06_ApplicationInformationExchangeRequirements1][1][FromOwnMS]</v>
      </c>
    </row>
    <row r="2431" spans="1:15" x14ac:dyDescent="0.3">
      <c r="A2431" t="s">
        <v>1793</v>
      </c>
      <c r="B2431" t="s">
        <v>2331</v>
      </c>
      <c r="C2431" t="s">
        <v>2332</v>
      </c>
      <c r="D2431">
        <v>1</v>
      </c>
      <c r="E2431" t="s">
        <v>1447</v>
      </c>
      <c r="F2431" t="s">
        <v>2334</v>
      </c>
      <c r="G2431" t="s">
        <v>1826</v>
      </c>
      <c r="H2431" t="s">
        <v>1799</v>
      </c>
      <c r="I2431" t="s">
        <v>1799</v>
      </c>
      <c r="J2431" t="s">
        <v>1799</v>
      </c>
      <c r="K2431" t="s">
        <v>1799</v>
      </c>
      <c r="L2431" t="s">
        <v>1419</v>
      </c>
      <c r="M2431" t="s">
        <v>1799</v>
      </c>
      <c r="N2431" t="s">
        <v>1799</v>
      </c>
      <c r="O2431" s="184" t="str">
        <f>"["&amp;$C2431&amp;"]["&amp;$D2431&amp;"]["&amp;$F2431&amp;"]"</f>
        <v>[S06_ApplicationInformationExchangeRequirements1][1][FromOtherMS]</v>
      </c>
    </row>
    <row r="2432" spans="1:15" x14ac:dyDescent="0.3">
      <c r="A2432" t="s">
        <v>1793</v>
      </c>
      <c r="B2432" t="s">
        <v>2331</v>
      </c>
      <c r="C2432" t="s">
        <v>2332</v>
      </c>
      <c r="D2432">
        <v>2</v>
      </c>
      <c r="E2432" t="s">
        <v>1447</v>
      </c>
      <c r="F2432" t="s">
        <v>2333</v>
      </c>
      <c r="G2432" t="s">
        <v>1826</v>
      </c>
      <c r="H2432" t="s">
        <v>1799</v>
      </c>
      <c r="I2432" t="s">
        <v>1799</v>
      </c>
      <c r="J2432" t="s">
        <v>1799</v>
      </c>
      <c r="K2432" t="s">
        <v>1799</v>
      </c>
      <c r="L2432" t="s">
        <v>1419</v>
      </c>
      <c r="M2432" t="s">
        <v>1799</v>
      </c>
      <c r="N2432" t="s">
        <v>1799</v>
      </c>
      <c r="O2432" s="184" t="str">
        <f>"["&amp;$C2432&amp;"]["&amp;$D2432&amp;"]["&amp;$F2432&amp;"]"</f>
        <v>[S06_ApplicationInformationExchangeRequirements1][2][FromOwnMS]</v>
      </c>
    </row>
    <row r="2433" spans="1:15" x14ac:dyDescent="0.3">
      <c r="A2433" t="s">
        <v>1793</v>
      </c>
      <c r="B2433" t="s">
        <v>2331</v>
      </c>
      <c r="C2433" t="s">
        <v>2332</v>
      </c>
      <c r="D2433">
        <v>2</v>
      </c>
      <c r="E2433" t="s">
        <v>1447</v>
      </c>
      <c r="F2433" t="s">
        <v>2334</v>
      </c>
      <c r="G2433" t="s">
        <v>1826</v>
      </c>
      <c r="H2433" t="s">
        <v>1799</v>
      </c>
      <c r="I2433" t="s">
        <v>1799</v>
      </c>
      <c r="J2433" t="s">
        <v>1799</v>
      </c>
      <c r="K2433" t="s">
        <v>1799</v>
      </c>
      <c r="L2433" t="s">
        <v>1419</v>
      </c>
      <c r="M2433" t="s">
        <v>1799</v>
      </c>
      <c r="N2433" t="s">
        <v>1799</v>
      </c>
      <c r="O2433" s="184" t="str">
        <f>"["&amp;$C2433&amp;"]["&amp;$D2433&amp;"]["&amp;$F2433&amp;"]"</f>
        <v>[S06_ApplicationInformationExchangeRequirements1][2][FromOtherMS]</v>
      </c>
    </row>
    <row r="2434" spans="1:15" x14ac:dyDescent="0.3">
      <c r="A2434" t="s">
        <v>1793</v>
      </c>
      <c r="B2434" t="s">
        <v>2331</v>
      </c>
      <c r="C2434" t="s">
        <v>2332</v>
      </c>
      <c r="D2434">
        <v>3</v>
      </c>
      <c r="E2434" t="s">
        <v>1447</v>
      </c>
      <c r="F2434" t="s">
        <v>2333</v>
      </c>
      <c r="G2434" t="s">
        <v>1826</v>
      </c>
      <c r="H2434" t="s">
        <v>1799</v>
      </c>
      <c r="I2434" t="s">
        <v>1799</v>
      </c>
      <c r="J2434" t="s">
        <v>1799</v>
      </c>
      <c r="K2434" t="s">
        <v>1799</v>
      </c>
      <c r="L2434" t="s">
        <v>1419</v>
      </c>
      <c r="M2434" t="s">
        <v>1799</v>
      </c>
      <c r="N2434" t="s">
        <v>1799</v>
      </c>
      <c r="O2434" s="184" t="str">
        <f>"["&amp;$C2434&amp;"]["&amp;$D2434&amp;"]["&amp;$F2434&amp;"]"</f>
        <v>[S06_ApplicationInformationExchangeRequirements1][3][FromOwnMS]</v>
      </c>
    </row>
    <row r="2435" spans="1:15" x14ac:dyDescent="0.3">
      <c r="A2435" t="s">
        <v>1793</v>
      </c>
      <c r="B2435" t="s">
        <v>2331</v>
      </c>
      <c r="C2435" t="s">
        <v>2332</v>
      </c>
      <c r="D2435">
        <v>3</v>
      </c>
      <c r="E2435" t="s">
        <v>1447</v>
      </c>
      <c r="F2435" t="s">
        <v>2334</v>
      </c>
      <c r="G2435" t="s">
        <v>1826</v>
      </c>
      <c r="H2435" t="s">
        <v>1799</v>
      </c>
      <c r="I2435" t="s">
        <v>1799</v>
      </c>
      <c r="J2435" t="s">
        <v>1799</v>
      </c>
      <c r="K2435" t="s">
        <v>1799</v>
      </c>
      <c r="L2435" t="s">
        <v>1419</v>
      </c>
      <c r="M2435" t="s">
        <v>1799</v>
      </c>
      <c r="N2435" t="s">
        <v>1799</v>
      </c>
      <c r="O2435" s="184" t="str">
        <f>"["&amp;$C2435&amp;"]["&amp;$D2435&amp;"]["&amp;$F2435&amp;"]"</f>
        <v>[S06_ApplicationInformationExchangeRequirements1][3][FromOtherMS]</v>
      </c>
    </row>
    <row r="2436" spans="1:15" x14ac:dyDescent="0.3">
      <c r="A2436" t="s">
        <v>1793</v>
      </c>
      <c r="B2436" t="s">
        <v>2331</v>
      </c>
      <c r="C2436" t="s">
        <v>2335</v>
      </c>
      <c r="D2436">
        <v>1</v>
      </c>
      <c r="E2436" t="s">
        <v>1447</v>
      </c>
      <c r="F2436" t="s">
        <v>2336</v>
      </c>
      <c r="G2436" t="s">
        <v>1811</v>
      </c>
      <c r="H2436" t="s">
        <v>1799</v>
      </c>
      <c r="I2436">
        <v>0</v>
      </c>
      <c r="J2436" t="s">
        <v>1799</v>
      </c>
      <c r="K2436" t="s">
        <v>1799</v>
      </c>
      <c r="L2436" t="s">
        <v>1799</v>
      </c>
      <c r="M2436" t="s">
        <v>1799</v>
      </c>
      <c r="N2436" t="s">
        <v>1799</v>
      </c>
      <c r="O2436" s="184" t="str">
        <f>"["&amp;$C2436&amp;"]["&amp;$D2436&amp;"]["&amp;$F2436&amp;"]"</f>
        <v>[S06_ApplicationInformationExchangeRequirements2][1][NumberImposedOnVerifiersSuspension]</v>
      </c>
    </row>
    <row r="2437" spans="1:15" x14ac:dyDescent="0.3">
      <c r="A2437" t="s">
        <v>1793</v>
      </c>
      <c r="B2437" t="s">
        <v>2331</v>
      </c>
      <c r="C2437" t="s">
        <v>2335</v>
      </c>
      <c r="D2437">
        <v>1</v>
      </c>
      <c r="E2437" t="s">
        <v>1447</v>
      </c>
      <c r="F2437" t="s">
        <v>2337</v>
      </c>
      <c r="G2437" t="s">
        <v>1811</v>
      </c>
      <c r="H2437" t="s">
        <v>1799</v>
      </c>
      <c r="I2437">
        <v>0</v>
      </c>
      <c r="J2437" t="s">
        <v>1799</v>
      </c>
      <c r="K2437" t="s">
        <v>1799</v>
      </c>
      <c r="L2437" t="s">
        <v>1799</v>
      </c>
      <c r="M2437" t="s">
        <v>1799</v>
      </c>
      <c r="N2437" t="s">
        <v>1799</v>
      </c>
      <c r="O2437" s="184" t="str">
        <f>"["&amp;$C2437&amp;"]["&amp;$D2437&amp;"]["&amp;$F2437&amp;"]"</f>
        <v>[S06_ApplicationInformationExchangeRequirements2][1][NumberImposedOnVerifiersWithdrawal]</v>
      </c>
    </row>
    <row r="2438" spans="1:15" x14ac:dyDescent="0.3">
      <c r="A2438" t="s">
        <v>1793</v>
      </c>
      <c r="B2438" t="s">
        <v>2331</v>
      </c>
      <c r="C2438" t="s">
        <v>2335</v>
      </c>
      <c r="D2438">
        <v>1</v>
      </c>
      <c r="E2438" t="s">
        <v>1447</v>
      </c>
      <c r="F2438" t="s">
        <v>2338</v>
      </c>
      <c r="G2438" t="s">
        <v>1811</v>
      </c>
      <c r="H2438" t="s">
        <v>1799</v>
      </c>
      <c r="I2438">
        <v>2</v>
      </c>
      <c r="J2438" t="s">
        <v>1799</v>
      </c>
      <c r="K2438" t="s">
        <v>1799</v>
      </c>
      <c r="L2438" t="s">
        <v>1799</v>
      </c>
      <c r="M2438" t="s">
        <v>1799</v>
      </c>
      <c r="N2438" t="s">
        <v>1799</v>
      </c>
      <c r="O2438" s="184" t="str">
        <f>"["&amp;$C2438&amp;"]["&amp;$D2438&amp;"]["&amp;$F2438&amp;"]"</f>
        <v>[S06_ApplicationInformationExchangeRequirements2][1][NumberImposedOnVerifiersReductionOfScope]</v>
      </c>
    </row>
    <row r="2439" spans="1:15" x14ac:dyDescent="0.3">
      <c r="A2439" t="s">
        <v>1793</v>
      </c>
      <c r="B2439" t="s">
        <v>2331</v>
      </c>
      <c r="C2439" t="s">
        <v>2339</v>
      </c>
      <c r="D2439">
        <v>0</v>
      </c>
      <c r="E2439" t="s">
        <v>1447</v>
      </c>
      <c r="F2439" t="s">
        <v>2340</v>
      </c>
      <c r="G2439" t="s">
        <v>1811</v>
      </c>
      <c r="H2439" t="s">
        <v>1799</v>
      </c>
      <c r="I2439">
        <v>1</v>
      </c>
      <c r="J2439" t="s">
        <v>1799</v>
      </c>
      <c r="K2439" t="s">
        <v>1799</v>
      </c>
      <c r="L2439" t="s">
        <v>1799</v>
      </c>
      <c r="M2439" t="s">
        <v>1799</v>
      </c>
      <c r="N2439" t="s">
        <v>1799</v>
      </c>
      <c r="O2439" s="184" t="str">
        <f>"["&amp;$C2439&amp;"]["&amp;$D2439&amp;"]["&amp;$F2439&amp;"]"</f>
        <v>[S06_ApplicationInformationExchangeRequirements3][0][TimesSurveillanceRequested]</v>
      </c>
    </row>
    <row r="2440" spans="1:15" x14ac:dyDescent="0.3">
      <c r="A2440" t="s">
        <v>1793</v>
      </c>
      <c r="B2440" t="s">
        <v>2331</v>
      </c>
      <c r="C2440" t="s">
        <v>2341</v>
      </c>
      <c r="D2440">
        <v>1</v>
      </c>
      <c r="E2440" t="s">
        <v>1447</v>
      </c>
      <c r="F2440" t="s">
        <v>2342</v>
      </c>
      <c r="G2440" t="s">
        <v>1811</v>
      </c>
      <c r="H2440" t="s">
        <v>1799</v>
      </c>
      <c r="I2440">
        <v>4</v>
      </c>
      <c r="J2440" t="s">
        <v>1799</v>
      </c>
      <c r="K2440" t="s">
        <v>1799</v>
      </c>
      <c r="L2440" t="s">
        <v>1799</v>
      </c>
      <c r="M2440" t="s">
        <v>1799</v>
      </c>
      <c r="N2440" t="s">
        <v>1799</v>
      </c>
      <c r="O2440" s="184" t="str">
        <f>"["&amp;$C2440&amp;"]["&amp;$D2440&amp;"]["&amp;$F2440&amp;"]"</f>
        <v>[S06_ApplicationInformationExchangeRequirements4][1][NumberOfIssues]</v>
      </c>
    </row>
    <row r="2441" spans="1:15" x14ac:dyDescent="0.3">
      <c r="A2441" t="s">
        <v>1793</v>
      </c>
      <c r="B2441" t="s">
        <v>2331</v>
      </c>
      <c r="C2441" t="s">
        <v>2341</v>
      </c>
      <c r="D2441">
        <v>1</v>
      </c>
      <c r="E2441" t="s">
        <v>1447</v>
      </c>
      <c r="F2441" t="s">
        <v>2343</v>
      </c>
      <c r="G2441" t="s">
        <v>1811</v>
      </c>
      <c r="H2441" t="s">
        <v>1799</v>
      </c>
      <c r="I2441">
        <v>4</v>
      </c>
      <c r="J2441" t="s">
        <v>1799</v>
      </c>
      <c r="K2441" t="s">
        <v>1799</v>
      </c>
      <c r="L2441" t="s">
        <v>1799</v>
      </c>
      <c r="M2441" t="s">
        <v>1799</v>
      </c>
      <c r="N2441" t="s">
        <v>1799</v>
      </c>
      <c r="O2441" s="184" t="str">
        <f>"["&amp;$C2441&amp;"]["&amp;$D2441&amp;"]["&amp;$F2441&amp;"]"</f>
        <v>[S06_ApplicationInformationExchangeRequirements4][1][NumberOfIssuesResolved]</v>
      </c>
    </row>
    <row r="2442" spans="1:15" x14ac:dyDescent="0.3">
      <c r="A2442" t="s">
        <v>1793</v>
      </c>
      <c r="B2442" t="s">
        <v>2331</v>
      </c>
      <c r="C2442" t="s">
        <v>2341</v>
      </c>
      <c r="D2442">
        <v>1</v>
      </c>
      <c r="E2442" t="s">
        <v>1447</v>
      </c>
      <c r="F2442" t="s">
        <v>2344</v>
      </c>
      <c r="G2442" t="s">
        <v>1811</v>
      </c>
      <c r="H2442" t="s">
        <v>1799</v>
      </c>
      <c r="I2442">
        <v>11</v>
      </c>
      <c r="J2442" t="s">
        <v>1799</v>
      </c>
      <c r="K2442" t="s">
        <v>1799</v>
      </c>
      <c r="L2442" t="s">
        <v>1799</v>
      </c>
      <c r="M2442" t="s">
        <v>1799</v>
      </c>
      <c r="N2442" t="s">
        <v>1799</v>
      </c>
      <c r="O2442" s="184" t="str">
        <f>"["&amp;$C2442&amp;"]["&amp;$D2442&amp;"]["&amp;$F2442&amp;"]"</f>
        <v>[S06_ApplicationInformationExchangeRequirements4][1][NumberOfPriorIssuesResolved]</v>
      </c>
    </row>
    <row r="2443" spans="1:15" x14ac:dyDescent="0.3">
      <c r="A2443" t="s">
        <v>1793</v>
      </c>
      <c r="B2443" t="s">
        <v>2331</v>
      </c>
      <c r="C2443" t="s">
        <v>2341</v>
      </c>
      <c r="D2443">
        <v>3</v>
      </c>
      <c r="E2443" t="s">
        <v>1447</v>
      </c>
      <c r="F2443" t="s">
        <v>2342</v>
      </c>
      <c r="G2443" t="s">
        <v>1811</v>
      </c>
      <c r="H2443" t="s">
        <v>1799</v>
      </c>
      <c r="I2443">
        <v>0</v>
      </c>
      <c r="J2443" t="s">
        <v>1799</v>
      </c>
      <c r="K2443" t="s">
        <v>1799</v>
      </c>
      <c r="L2443" t="s">
        <v>1799</v>
      </c>
      <c r="M2443" t="s">
        <v>1799</v>
      </c>
      <c r="N2443" t="s">
        <v>1799</v>
      </c>
      <c r="O2443" s="184" t="str">
        <f>"["&amp;$C2443&amp;"]["&amp;$D2443&amp;"]["&amp;$F2443&amp;"]"</f>
        <v>[S06_ApplicationInformationExchangeRequirements4][3][NumberOfIssues]</v>
      </c>
    </row>
    <row r="2444" spans="1:15" x14ac:dyDescent="0.3">
      <c r="A2444" t="s">
        <v>1793</v>
      </c>
      <c r="B2444" t="s">
        <v>2331</v>
      </c>
      <c r="C2444" t="s">
        <v>2341</v>
      </c>
      <c r="D2444">
        <v>3</v>
      </c>
      <c r="E2444" t="s">
        <v>1447</v>
      </c>
      <c r="F2444" t="s">
        <v>2343</v>
      </c>
      <c r="G2444" t="s">
        <v>1811</v>
      </c>
      <c r="H2444" t="s">
        <v>1799</v>
      </c>
      <c r="I2444">
        <v>0</v>
      </c>
      <c r="J2444" t="s">
        <v>1799</v>
      </c>
      <c r="K2444" t="s">
        <v>1799</v>
      </c>
      <c r="L2444" t="s">
        <v>1799</v>
      </c>
      <c r="M2444" t="s">
        <v>1799</v>
      </c>
      <c r="N2444" t="s">
        <v>1799</v>
      </c>
      <c r="O2444" s="184" t="str">
        <f>"["&amp;$C2444&amp;"]["&amp;$D2444&amp;"]["&amp;$F2444&amp;"]"</f>
        <v>[S06_ApplicationInformationExchangeRequirements4][3][NumberOfIssuesResolved]</v>
      </c>
    </row>
    <row r="2445" spans="1:15" x14ac:dyDescent="0.3">
      <c r="A2445" t="s">
        <v>1793</v>
      </c>
      <c r="B2445" t="s">
        <v>2331</v>
      </c>
      <c r="C2445" t="s">
        <v>2341</v>
      </c>
      <c r="D2445">
        <v>3</v>
      </c>
      <c r="E2445" t="s">
        <v>1447</v>
      </c>
      <c r="F2445" t="s">
        <v>2344</v>
      </c>
      <c r="G2445" t="s">
        <v>1811</v>
      </c>
      <c r="H2445" t="s">
        <v>1799</v>
      </c>
      <c r="I2445">
        <v>11</v>
      </c>
      <c r="J2445" t="s">
        <v>1799</v>
      </c>
      <c r="K2445" t="s">
        <v>1799</v>
      </c>
      <c r="L2445" t="s">
        <v>1799</v>
      </c>
      <c r="M2445" t="s">
        <v>1799</v>
      </c>
      <c r="N2445" t="s">
        <v>1799</v>
      </c>
      <c r="O2445" s="184" t="str">
        <f>"["&amp;$C2445&amp;"]["&amp;$D2445&amp;"]["&amp;$F2445&amp;"]"</f>
        <v>[S06_ApplicationInformationExchangeRequirements4][3][NumberOfPriorIssuesResolved]</v>
      </c>
    </row>
    <row r="2446" spans="1:15" x14ac:dyDescent="0.3">
      <c r="A2446" t="s">
        <v>1793</v>
      </c>
      <c r="B2446" t="s">
        <v>2345</v>
      </c>
      <c r="C2446" t="s">
        <v>2346</v>
      </c>
      <c r="D2446">
        <v>1</v>
      </c>
      <c r="E2446" t="s">
        <v>1447</v>
      </c>
      <c r="F2446" t="s">
        <v>2347</v>
      </c>
      <c r="G2446" t="s">
        <v>1811</v>
      </c>
      <c r="H2446" t="s">
        <v>1799</v>
      </c>
      <c r="I2446">
        <v>9</v>
      </c>
      <c r="J2446" t="s">
        <v>1799</v>
      </c>
      <c r="K2446" t="s">
        <v>1799</v>
      </c>
      <c r="L2446" t="s">
        <v>1799</v>
      </c>
      <c r="M2446" t="s">
        <v>1799</v>
      </c>
      <c r="N2446" t="s">
        <v>1799</v>
      </c>
      <c r="O2446" s="184" t="str">
        <f>"["&amp;$C2446&amp;"]["&amp;$D2446&amp;"]["&amp;$F2446&amp;"]"</f>
        <v>[S06_NegativeOpinionInstallations][1][CountNegativeOpinions]</v>
      </c>
    </row>
    <row r="2447" spans="1:15" x14ac:dyDescent="0.3">
      <c r="A2447" t="s">
        <v>1793</v>
      </c>
      <c r="B2447" t="s">
        <v>2345</v>
      </c>
      <c r="C2447" t="s">
        <v>2346</v>
      </c>
      <c r="D2447">
        <v>2</v>
      </c>
      <c r="E2447" t="s">
        <v>1447</v>
      </c>
      <c r="F2447" t="s">
        <v>2347</v>
      </c>
      <c r="G2447" t="s">
        <v>1811</v>
      </c>
      <c r="H2447" t="s">
        <v>1799</v>
      </c>
      <c r="I2447">
        <v>0</v>
      </c>
      <c r="J2447" t="s">
        <v>1799</v>
      </c>
      <c r="K2447" t="s">
        <v>1799</v>
      </c>
      <c r="L2447" t="s">
        <v>1799</v>
      </c>
      <c r="M2447" t="s">
        <v>1799</v>
      </c>
      <c r="N2447" t="s">
        <v>1799</v>
      </c>
      <c r="O2447" s="184" t="str">
        <f>"["&amp;$C2447&amp;"]["&amp;$D2447&amp;"]["&amp;$F2447&amp;"]"</f>
        <v>[S06_NegativeOpinionInstallations][2][CountNegativeOpinions]</v>
      </c>
    </row>
    <row r="2448" spans="1:15" x14ac:dyDescent="0.3">
      <c r="A2448" t="s">
        <v>1793</v>
      </c>
      <c r="B2448" t="s">
        <v>2345</v>
      </c>
      <c r="C2448" t="s">
        <v>2346</v>
      </c>
      <c r="D2448">
        <v>3</v>
      </c>
      <c r="E2448" t="s">
        <v>1447</v>
      </c>
      <c r="F2448" t="s">
        <v>2347</v>
      </c>
      <c r="G2448" t="s">
        <v>1811</v>
      </c>
      <c r="H2448" t="s">
        <v>1799</v>
      </c>
      <c r="I2448">
        <v>1</v>
      </c>
      <c r="J2448" t="s">
        <v>1799</v>
      </c>
      <c r="K2448" t="s">
        <v>1799</v>
      </c>
      <c r="L2448" t="s">
        <v>1799</v>
      </c>
      <c r="M2448" t="s">
        <v>1799</v>
      </c>
      <c r="N2448" t="s">
        <v>1799</v>
      </c>
      <c r="O2448" s="184" t="str">
        <f>"["&amp;$C2448&amp;"]["&amp;$D2448&amp;"]["&amp;$F2448&amp;"]"</f>
        <v>[S06_NegativeOpinionInstallations][3][CountNegativeOpinions]</v>
      </c>
    </row>
    <row r="2449" spans="1:15" x14ac:dyDescent="0.3">
      <c r="A2449" t="s">
        <v>1793</v>
      </c>
      <c r="B2449" t="s">
        <v>2345</v>
      </c>
      <c r="C2449" t="s">
        <v>2346</v>
      </c>
      <c r="D2449">
        <v>4</v>
      </c>
      <c r="E2449" t="s">
        <v>1447</v>
      </c>
      <c r="F2449" t="s">
        <v>2347</v>
      </c>
      <c r="G2449" t="s">
        <v>1811</v>
      </c>
      <c r="H2449" t="s">
        <v>1799</v>
      </c>
      <c r="I2449">
        <v>0</v>
      </c>
      <c r="J2449" t="s">
        <v>1799</v>
      </c>
      <c r="K2449" t="s">
        <v>1799</v>
      </c>
      <c r="L2449" t="s">
        <v>1799</v>
      </c>
      <c r="M2449" t="s">
        <v>1799</v>
      </c>
      <c r="N2449" t="s">
        <v>1799</v>
      </c>
      <c r="O2449" s="184" t="str">
        <f>"["&amp;$C2449&amp;"]["&amp;$D2449&amp;"]["&amp;$F2449&amp;"]"</f>
        <v>[S06_NegativeOpinionInstallations][4][CountNegativeOpinions]</v>
      </c>
    </row>
    <row r="2450" spans="1:15" x14ac:dyDescent="0.3">
      <c r="A2450" t="s">
        <v>1793</v>
      </c>
      <c r="B2450" t="s">
        <v>2348</v>
      </c>
      <c r="C2450" t="s">
        <v>2349</v>
      </c>
      <c r="D2450">
        <v>0</v>
      </c>
      <c r="E2450" t="s">
        <v>1447</v>
      </c>
      <c r="F2450" t="s">
        <v>2349</v>
      </c>
      <c r="G2450" t="s">
        <v>1826</v>
      </c>
      <c r="H2450" t="s">
        <v>1799</v>
      </c>
      <c r="I2450" t="s">
        <v>1799</v>
      </c>
      <c r="J2450" t="s">
        <v>1799</v>
      </c>
      <c r="K2450" t="s">
        <v>1799</v>
      </c>
      <c r="L2450" t="s">
        <v>1447</v>
      </c>
      <c r="M2450" t="s">
        <v>1799</v>
      </c>
      <c r="N2450" t="s">
        <v>1799</v>
      </c>
      <c r="O2450" s="184" t="str">
        <f>"["&amp;$C2450&amp;"]["&amp;$D2450&amp;"]["&amp;$F2450&amp;"]"</f>
        <v>[InstallationsVerificationReportIssues][0][InstallationsVerificationReportIssues]</v>
      </c>
    </row>
    <row r="2451" spans="1:15" x14ac:dyDescent="0.3">
      <c r="A2451" t="s">
        <v>1793</v>
      </c>
      <c r="B2451" t="s">
        <v>2350</v>
      </c>
      <c r="C2451" t="s">
        <v>2351</v>
      </c>
      <c r="D2451">
        <v>0</v>
      </c>
      <c r="E2451" t="s">
        <v>1447</v>
      </c>
      <c r="F2451" t="s">
        <v>2351</v>
      </c>
      <c r="G2451" t="s">
        <v>1826</v>
      </c>
      <c r="H2451" t="s">
        <v>1799</v>
      </c>
      <c r="I2451" t="s">
        <v>1799</v>
      </c>
      <c r="J2451" t="s">
        <v>1799</v>
      </c>
      <c r="K2451" t="s">
        <v>1799</v>
      </c>
      <c r="L2451" t="s">
        <v>1419</v>
      </c>
      <c r="M2451" t="s">
        <v>1799</v>
      </c>
      <c r="N2451" t="s">
        <v>1799</v>
      </c>
      <c r="O2451" s="184" t="str">
        <f>"["&amp;$C2451&amp;"]["&amp;$D2451&amp;"]["&amp;$F2451&amp;"]"</f>
        <v>[InstallationsVerificationReportChecks][0][InstallationsVerificationReportChecks]</v>
      </c>
    </row>
    <row r="2452" spans="1:15" x14ac:dyDescent="0.3">
      <c r="A2452" t="s">
        <v>1793</v>
      </c>
      <c r="B2452" t="s">
        <v>2350</v>
      </c>
      <c r="C2452" t="s">
        <v>2352</v>
      </c>
      <c r="D2452">
        <v>1</v>
      </c>
      <c r="E2452" t="s">
        <v>1447</v>
      </c>
      <c r="F2452" t="s">
        <v>2353</v>
      </c>
      <c r="G2452" t="s">
        <v>1892</v>
      </c>
      <c r="H2452" t="s">
        <v>1799</v>
      </c>
      <c r="I2452" t="s">
        <v>1799</v>
      </c>
      <c r="J2452">
        <v>1</v>
      </c>
      <c r="K2452" t="s">
        <v>1799</v>
      </c>
      <c r="L2452" t="s">
        <v>1799</v>
      </c>
      <c r="M2452" t="s">
        <v>1799</v>
      </c>
      <c r="N2452" t="s">
        <v>1799</v>
      </c>
      <c r="O2452" s="184" t="str">
        <f>"["&amp;$C2452&amp;"]["&amp;$D2452&amp;"]["&amp;$F2452&amp;"]"</f>
        <v>[S06_InstallationsVerificationReportChecksDetail1][1][PercentageShare]</v>
      </c>
    </row>
    <row r="2453" spans="1:15" x14ac:dyDescent="0.3">
      <c r="A2453" t="s">
        <v>1793</v>
      </c>
      <c r="B2453" t="s">
        <v>2350</v>
      </c>
      <c r="C2453" t="s">
        <v>2352</v>
      </c>
      <c r="D2453">
        <v>2</v>
      </c>
      <c r="E2453" t="s">
        <v>1447</v>
      </c>
      <c r="F2453" t="s">
        <v>2353</v>
      </c>
      <c r="G2453" t="s">
        <v>1892</v>
      </c>
      <c r="H2453" t="s">
        <v>1799</v>
      </c>
      <c r="I2453" t="s">
        <v>1799</v>
      </c>
      <c r="J2453">
        <v>1</v>
      </c>
      <c r="K2453" t="s">
        <v>1799</v>
      </c>
      <c r="L2453" t="s">
        <v>1799</v>
      </c>
      <c r="M2453" t="s">
        <v>1799</v>
      </c>
      <c r="N2453" t="s">
        <v>1799</v>
      </c>
      <c r="O2453" s="184" t="str">
        <f>"["&amp;$C2453&amp;"]["&amp;$D2453&amp;"]["&amp;$F2453&amp;"]"</f>
        <v>[S06_InstallationsVerificationReportChecksDetail1][2][PercentageShare]</v>
      </c>
    </row>
    <row r="2454" spans="1:15" x14ac:dyDescent="0.3">
      <c r="A2454" t="s">
        <v>1793</v>
      </c>
      <c r="B2454" t="s">
        <v>2350</v>
      </c>
      <c r="C2454" t="s">
        <v>2352</v>
      </c>
      <c r="D2454">
        <v>3</v>
      </c>
      <c r="E2454" t="s">
        <v>1447</v>
      </c>
      <c r="F2454" t="s">
        <v>2353</v>
      </c>
      <c r="G2454" t="s">
        <v>1892</v>
      </c>
      <c r="H2454" t="s">
        <v>1799</v>
      </c>
      <c r="I2454" t="s">
        <v>1799</v>
      </c>
      <c r="J2454">
        <v>0</v>
      </c>
      <c r="K2454" t="s">
        <v>1799</v>
      </c>
      <c r="L2454" t="s">
        <v>1799</v>
      </c>
      <c r="M2454" t="s">
        <v>1799</v>
      </c>
      <c r="N2454" t="s">
        <v>1799</v>
      </c>
      <c r="O2454" s="184" t="str">
        <f>"["&amp;$C2454&amp;"]["&amp;$D2454&amp;"]["&amp;$F2454&amp;"]"</f>
        <v>[S06_InstallationsVerificationReportChecksDetail1][3][PercentageShare]</v>
      </c>
    </row>
    <row r="2455" spans="1:15" x14ac:dyDescent="0.3">
      <c r="A2455" t="s">
        <v>1793</v>
      </c>
      <c r="B2455" t="s">
        <v>2350</v>
      </c>
      <c r="C2455" t="s">
        <v>2352</v>
      </c>
      <c r="D2455">
        <v>4</v>
      </c>
      <c r="E2455" t="s">
        <v>1447</v>
      </c>
      <c r="F2455" t="s">
        <v>2354</v>
      </c>
      <c r="G2455" t="s">
        <v>1869</v>
      </c>
      <c r="H2455" t="s">
        <v>1799</v>
      </c>
      <c r="I2455" t="s">
        <v>1799</v>
      </c>
      <c r="J2455" t="s">
        <v>1799</v>
      </c>
      <c r="K2455" t="s">
        <v>2355</v>
      </c>
      <c r="L2455" t="s">
        <v>1799</v>
      </c>
      <c r="M2455" t="s">
        <v>1799</v>
      </c>
      <c r="N2455" t="s">
        <v>1799</v>
      </c>
      <c r="O2455" s="184" t="str">
        <f>"["&amp;$C2455&amp;"]["&amp;$D2455&amp;"]["&amp;$F2455&amp;"]"</f>
        <v>[S06_InstallationsVerificationReportChecksDetail1][4][FurtherInformation]</v>
      </c>
    </row>
    <row r="2456" spans="1:15" x14ac:dyDescent="0.3">
      <c r="A2456" t="s">
        <v>1793</v>
      </c>
      <c r="B2456" t="s">
        <v>2350</v>
      </c>
      <c r="C2456" t="s">
        <v>2352</v>
      </c>
      <c r="D2456">
        <v>5</v>
      </c>
      <c r="E2456" t="s">
        <v>1447</v>
      </c>
      <c r="F2456" t="s">
        <v>2354</v>
      </c>
      <c r="G2456" t="s">
        <v>1869</v>
      </c>
      <c r="H2456" t="s">
        <v>1799</v>
      </c>
      <c r="I2456" t="s">
        <v>1799</v>
      </c>
      <c r="J2456" t="s">
        <v>1799</v>
      </c>
      <c r="K2456" t="s">
        <v>2356</v>
      </c>
      <c r="L2456" t="s">
        <v>1799</v>
      </c>
      <c r="M2456" t="s">
        <v>1799</v>
      </c>
      <c r="N2456" t="s">
        <v>1799</v>
      </c>
      <c r="O2456" s="184" t="str">
        <f>"["&amp;$C2456&amp;"]["&amp;$D2456&amp;"]["&amp;$F2456&amp;"]"</f>
        <v>[S06_InstallationsVerificationReportChecksDetail1][5][FurtherInformation]</v>
      </c>
    </row>
    <row r="2457" spans="1:15" x14ac:dyDescent="0.3">
      <c r="A2457" t="s">
        <v>1793</v>
      </c>
      <c r="B2457" t="s">
        <v>2350</v>
      </c>
      <c r="C2457" t="s">
        <v>2352</v>
      </c>
      <c r="D2457">
        <v>5</v>
      </c>
      <c r="E2457" t="s">
        <v>1447</v>
      </c>
      <c r="F2457" t="s">
        <v>2357</v>
      </c>
      <c r="G2457" t="s">
        <v>1737</v>
      </c>
      <c r="H2457" t="s">
        <v>1799</v>
      </c>
      <c r="I2457" t="s">
        <v>1799</v>
      </c>
      <c r="J2457" t="s">
        <v>1799</v>
      </c>
      <c r="K2457" t="s">
        <v>1799</v>
      </c>
      <c r="L2457" t="s">
        <v>1234</v>
      </c>
      <c r="M2457" t="s">
        <v>1799</v>
      </c>
      <c r="N2457" t="s">
        <v>1799</v>
      </c>
      <c r="O2457" s="184" t="str">
        <f>"["&amp;$C2457&amp;"]["&amp;$D2457&amp;"]["&amp;$F2457&amp;"]"</f>
        <v>[S06_InstallationsVerificationReportChecksDetail1][5][SelectingCriteria]</v>
      </c>
    </row>
    <row r="2458" spans="1:15" x14ac:dyDescent="0.3">
      <c r="A2458" t="s">
        <v>1793</v>
      </c>
      <c r="B2458" t="s">
        <v>2350</v>
      </c>
      <c r="C2458" t="s">
        <v>2358</v>
      </c>
      <c r="D2458">
        <v>1</v>
      </c>
      <c r="E2458" t="s">
        <v>1447</v>
      </c>
      <c r="F2458" t="s">
        <v>2359</v>
      </c>
      <c r="G2458" t="s">
        <v>1811</v>
      </c>
      <c r="H2458" t="s">
        <v>1799</v>
      </c>
      <c r="I2458">
        <v>0</v>
      </c>
      <c r="J2458" t="s">
        <v>1799</v>
      </c>
      <c r="K2458" t="s">
        <v>1799</v>
      </c>
      <c r="L2458" t="s">
        <v>1799</v>
      </c>
      <c r="M2458" t="s">
        <v>1799</v>
      </c>
      <c r="N2458" t="s">
        <v>1799</v>
      </c>
      <c r="O2458" s="184" t="str">
        <f>"["&amp;$C2458&amp;"]["&amp;$D2458&amp;"]["&amp;$F2458&amp;"]"</f>
        <v>[S06_InstallationsVerificationReportChecksDetail2][1][NumberOfReports]</v>
      </c>
    </row>
    <row r="2459" spans="1:15" x14ac:dyDescent="0.3">
      <c r="A2459" t="s">
        <v>1793</v>
      </c>
      <c r="B2459" t="s">
        <v>2350</v>
      </c>
      <c r="C2459" t="s">
        <v>2358</v>
      </c>
      <c r="D2459">
        <v>2</v>
      </c>
      <c r="E2459" t="s">
        <v>1447</v>
      </c>
      <c r="F2459" t="s">
        <v>2359</v>
      </c>
      <c r="G2459" t="s">
        <v>1811</v>
      </c>
      <c r="H2459" t="s">
        <v>1799</v>
      </c>
      <c r="I2459">
        <v>0</v>
      </c>
      <c r="J2459" t="s">
        <v>1799</v>
      </c>
      <c r="K2459" t="s">
        <v>1799</v>
      </c>
      <c r="L2459" t="s">
        <v>1799</v>
      </c>
      <c r="M2459" t="s">
        <v>1799</v>
      </c>
      <c r="N2459" t="s">
        <v>1799</v>
      </c>
      <c r="O2459" s="184" t="str">
        <f>"["&amp;$C2459&amp;"]["&amp;$D2459&amp;"]["&amp;$F2459&amp;"]"</f>
        <v>[S06_InstallationsVerificationReportChecksDetail2][2][NumberOfReports]</v>
      </c>
    </row>
    <row r="2460" spans="1:15" x14ac:dyDescent="0.3">
      <c r="A2460" t="s">
        <v>1793</v>
      </c>
      <c r="B2460" t="s">
        <v>2350</v>
      </c>
      <c r="C2460" t="s">
        <v>2360</v>
      </c>
      <c r="D2460">
        <v>1</v>
      </c>
      <c r="E2460" t="s">
        <v>1447</v>
      </c>
      <c r="F2460" t="s">
        <v>2361</v>
      </c>
      <c r="G2460" t="s">
        <v>1797</v>
      </c>
      <c r="H2460" t="s">
        <v>2362</v>
      </c>
      <c r="I2460" t="s">
        <v>1799</v>
      </c>
      <c r="J2460" t="s">
        <v>1799</v>
      </c>
      <c r="K2460" t="s">
        <v>1799</v>
      </c>
      <c r="L2460" t="s">
        <v>1799</v>
      </c>
      <c r="M2460" t="s">
        <v>1799</v>
      </c>
      <c r="N2460" t="s">
        <v>1799</v>
      </c>
      <c r="O2460" s="184" t="str">
        <f>"["&amp;$C2460&amp;"]["&amp;$D2460&amp;"]["&amp;$F2460&amp;"]"</f>
        <v>[S06_InstallationsVerificationReportChecksDetail3][1][ActionsTaken]</v>
      </c>
    </row>
    <row r="2461" spans="1:15" x14ac:dyDescent="0.3">
      <c r="A2461" t="s">
        <v>1793</v>
      </c>
      <c r="B2461" t="s">
        <v>2350</v>
      </c>
      <c r="C2461" t="s">
        <v>2360</v>
      </c>
      <c r="D2461">
        <v>2</v>
      </c>
      <c r="E2461" t="s">
        <v>1419</v>
      </c>
      <c r="F2461" t="s">
        <v>2361</v>
      </c>
      <c r="G2461" t="s">
        <v>1869</v>
      </c>
      <c r="H2461" t="s">
        <v>1799</v>
      </c>
      <c r="I2461" t="s">
        <v>1799</v>
      </c>
      <c r="J2461" t="s">
        <v>1799</v>
      </c>
      <c r="K2461" t="s">
        <v>2363</v>
      </c>
      <c r="L2461" t="s">
        <v>1799</v>
      </c>
      <c r="M2461" t="s">
        <v>1799</v>
      </c>
      <c r="N2461" t="s">
        <v>1799</v>
      </c>
      <c r="O2461" s="184" t="str">
        <f>"["&amp;$C2461&amp;"]["&amp;$D2461&amp;"]["&amp;$F2461&amp;"]"</f>
        <v>[S06_InstallationsVerificationReportChecksDetail3][2][ActionsTaken]</v>
      </c>
    </row>
    <row r="2462" spans="1:15" x14ac:dyDescent="0.3">
      <c r="A2462" t="s">
        <v>1793</v>
      </c>
      <c r="B2462" t="s">
        <v>2364</v>
      </c>
      <c r="C2462" t="s">
        <v>2365</v>
      </c>
      <c r="D2462">
        <v>0</v>
      </c>
      <c r="E2462" t="s">
        <v>1447</v>
      </c>
      <c r="F2462" t="s">
        <v>2365</v>
      </c>
      <c r="G2462" t="s">
        <v>1826</v>
      </c>
      <c r="H2462" t="s">
        <v>1799</v>
      </c>
      <c r="I2462" t="s">
        <v>1799</v>
      </c>
      <c r="J2462" t="s">
        <v>1799</v>
      </c>
      <c r="K2462" t="s">
        <v>1799</v>
      </c>
      <c r="L2462" t="s">
        <v>1447</v>
      </c>
      <c r="M2462" t="s">
        <v>1799</v>
      </c>
      <c r="N2462" t="s">
        <v>1799</v>
      </c>
      <c r="O2462" s="184" t="str">
        <f>"["&amp;$C2462&amp;"]["&amp;$D2462&amp;"]["&amp;$F2462&amp;"]"</f>
        <v>[InstallationVisitsWaivedHighEmitters][0][InstallationVisitsWaivedHighEmitters]</v>
      </c>
    </row>
    <row r="2463" spans="1:15" x14ac:dyDescent="0.3">
      <c r="A2463" t="s">
        <v>1793</v>
      </c>
      <c r="B2463" t="s">
        <v>2364</v>
      </c>
      <c r="C2463" t="s">
        <v>2366</v>
      </c>
      <c r="D2463">
        <v>0</v>
      </c>
      <c r="E2463" t="s">
        <v>1447</v>
      </c>
      <c r="F2463" t="s">
        <v>2366</v>
      </c>
      <c r="G2463" t="s">
        <v>1826</v>
      </c>
      <c r="H2463" t="s">
        <v>1799</v>
      </c>
      <c r="I2463" t="s">
        <v>1799</v>
      </c>
      <c r="J2463" t="s">
        <v>1799</v>
      </c>
      <c r="K2463" t="s">
        <v>1799</v>
      </c>
      <c r="L2463" t="s">
        <v>1419</v>
      </c>
      <c r="M2463" t="s">
        <v>1799</v>
      </c>
      <c r="N2463" t="s">
        <v>1799</v>
      </c>
      <c r="O2463" s="184" t="str">
        <f>"["&amp;$C2463&amp;"]["&amp;$D2463&amp;"]["&amp;$F2463&amp;"]"</f>
        <v>[InstallationsVisitsWaivedLowEmitters][0][InstallationsVisitsWaivedLowEmitters]</v>
      </c>
    </row>
    <row r="2464" spans="1:15" x14ac:dyDescent="0.3">
      <c r="A2464" t="s">
        <v>1793</v>
      </c>
      <c r="B2464" t="s">
        <v>2364</v>
      </c>
      <c r="C2464" t="s">
        <v>2367</v>
      </c>
      <c r="D2464">
        <v>0</v>
      </c>
      <c r="E2464" t="s">
        <v>1447</v>
      </c>
      <c r="F2464" t="s">
        <v>2367</v>
      </c>
      <c r="G2464" t="s">
        <v>1811</v>
      </c>
      <c r="H2464" t="s">
        <v>1799</v>
      </c>
      <c r="I2464">
        <v>46</v>
      </c>
      <c r="J2464" t="s">
        <v>1799</v>
      </c>
      <c r="K2464" t="s">
        <v>1799</v>
      </c>
      <c r="L2464" t="s">
        <v>1799</v>
      </c>
      <c r="M2464" t="s">
        <v>1799</v>
      </c>
      <c r="N2464" t="s">
        <v>1799</v>
      </c>
      <c r="O2464" s="184" t="str">
        <f>"["&amp;$C2464&amp;"]["&amp;$D2464&amp;"]["&amp;$F2464&amp;"]"</f>
        <v>[InstallationsVisitsWaivedLowEmittersDetail][0][InstallationsVisitsWaivedLowEmittersDetail]</v>
      </c>
    </row>
    <row r="2465" spans="1:15" x14ac:dyDescent="0.3">
      <c r="A2465" t="s">
        <v>1793</v>
      </c>
      <c r="B2465" t="s">
        <v>2368</v>
      </c>
      <c r="C2465" t="s">
        <v>2369</v>
      </c>
      <c r="D2465">
        <v>1</v>
      </c>
      <c r="E2465" t="s">
        <v>1447</v>
      </c>
      <c r="F2465" t="s">
        <v>2347</v>
      </c>
      <c r="G2465" t="s">
        <v>1811</v>
      </c>
      <c r="H2465" t="s">
        <v>1799</v>
      </c>
      <c r="I2465">
        <v>1</v>
      </c>
      <c r="J2465" t="s">
        <v>1799</v>
      </c>
      <c r="K2465" t="s">
        <v>1799</v>
      </c>
      <c r="L2465" t="s">
        <v>1799</v>
      </c>
      <c r="M2465" t="s">
        <v>1799</v>
      </c>
      <c r="N2465" t="s">
        <v>1799</v>
      </c>
      <c r="O2465" s="184" t="str">
        <f>"["&amp;$C2465&amp;"]["&amp;$D2465&amp;"]["&amp;$F2465&amp;"]"</f>
        <v>[S06_NegativeOpinionAircraft][1][CountNegativeOpinions]</v>
      </c>
    </row>
    <row r="2466" spans="1:15" x14ac:dyDescent="0.3">
      <c r="A2466" t="s">
        <v>1793</v>
      </c>
      <c r="B2466" t="s">
        <v>2368</v>
      </c>
      <c r="C2466" t="s">
        <v>2369</v>
      </c>
      <c r="D2466">
        <v>2</v>
      </c>
      <c r="E2466" t="s">
        <v>1447</v>
      </c>
      <c r="F2466" t="s">
        <v>2347</v>
      </c>
      <c r="G2466" t="s">
        <v>1811</v>
      </c>
      <c r="H2466" t="s">
        <v>1799</v>
      </c>
      <c r="I2466">
        <v>0</v>
      </c>
      <c r="J2466" t="s">
        <v>1799</v>
      </c>
      <c r="K2466" t="s">
        <v>1799</v>
      </c>
      <c r="L2466" t="s">
        <v>1799</v>
      </c>
      <c r="M2466" t="s">
        <v>1799</v>
      </c>
      <c r="N2466" t="s">
        <v>1799</v>
      </c>
      <c r="O2466" s="184" t="str">
        <f>"["&amp;$C2466&amp;"]["&amp;$D2466&amp;"]["&amp;$F2466&amp;"]"</f>
        <v>[S06_NegativeOpinionAircraft][2][CountNegativeOpinions]</v>
      </c>
    </row>
    <row r="2467" spans="1:15" x14ac:dyDescent="0.3">
      <c r="A2467" t="s">
        <v>1793</v>
      </c>
      <c r="B2467" t="s">
        <v>2368</v>
      </c>
      <c r="C2467" t="s">
        <v>2369</v>
      </c>
      <c r="D2467">
        <v>3</v>
      </c>
      <c r="E2467" t="s">
        <v>1447</v>
      </c>
      <c r="F2467" t="s">
        <v>2347</v>
      </c>
      <c r="G2467" t="s">
        <v>1811</v>
      </c>
      <c r="H2467" t="s">
        <v>1799</v>
      </c>
      <c r="I2467">
        <v>0</v>
      </c>
      <c r="J2467" t="s">
        <v>1799</v>
      </c>
      <c r="K2467" t="s">
        <v>1799</v>
      </c>
      <c r="L2467" t="s">
        <v>1799</v>
      </c>
      <c r="M2467" t="s">
        <v>1799</v>
      </c>
      <c r="N2467" t="s">
        <v>1799</v>
      </c>
      <c r="O2467" s="184" t="str">
        <f>"["&amp;$C2467&amp;"]["&amp;$D2467&amp;"]["&amp;$F2467&amp;"]"</f>
        <v>[S06_NegativeOpinionAircraft][3][CountNegativeOpinions]</v>
      </c>
    </row>
    <row r="2468" spans="1:15" x14ac:dyDescent="0.3">
      <c r="A2468" t="s">
        <v>1793</v>
      </c>
      <c r="B2468" t="s">
        <v>2368</v>
      </c>
      <c r="C2468" t="s">
        <v>2369</v>
      </c>
      <c r="D2468">
        <v>4</v>
      </c>
      <c r="E2468" t="s">
        <v>1447</v>
      </c>
      <c r="F2468" t="s">
        <v>2347</v>
      </c>
      <c r="G2468" t="s">
        <v>1811</v>
      </c>
      <c r="H2468" t="s">
        <v>1799</v>
      </c>
      <c r="I2468">
        <v>0</v>
      </c>
      <c r="J2468" t="s">
        <v>1799</v>
      </c>
      <c r="K2468" t="s">
        <v>1799</v>
      </c>
      <c r="L2468" t="s">
        <v>1799</v>
      </c>
      <c r="M2468" t="s">
        <v>1799</v>
      </c>
      <c r="N2468" t="s">
        <v>1799</v>
      </c>
      <c r="O2468" s="184" t="str">
        <f>"["&amp;$C2468&amp;"]["&amp;$D2468&amp;"]["&amp;$F2468&amp;"]"</f>
        <v>[S06_NegativeOpinionAircraft][4][CountNegativeOpinions]</v>
      </c>
    </row>
    <row r="2469" spans="1:15" x14ac:dyDescent="0.3">
      <c r="A2469" t="s">
        <v>1793</v>
      </c>
      <c r="B2469" t="s">
        <v>2370</v>
      </c>
      <c r="C2469" t="s">
        <v>2371</v>
      </c>
      <c r="D2469">
        <v>0</v>
      </c>
      <c r="E2469" t="s">
        <v>1447</v>
      </c>
      <c r="F2469" t="s">
        <v>2371</v>
      </c>
      <c r="G2469" t="s">
        <v>1826</v>
      </c>
      <c r="H2469" t="s">
        <v>1799</v>
      </c>
      <c r="I2469" t="s">
        <v>1799</v>
      </c>
      <c r="J2469" t="s">
        <v>1799</v>
      </c>
      <c r="K2469" t="s">
        <v>1799</v>
      </c>
      <c r="L2469" t="s">
        <v>1447</v>
      </c>
      <c r="M2469" t="s">
        <v>1799</v>
      </c>
      <c r="N2469" t="s">
        <v>1799</v>
      </c>
      <c r="O2469" s="184" t="str">
        <f>"["&amp;$C2469&amp;"]["&amp;$D2469&amp;"]["&amp;$F2469&amp;"]"</f>
        <v>[AircraftOperatorsVerificationReportIssues][0][AircraftOperatorsVerificationReportIssues]</v>
      </c>
    </row>
    <row r="2470" spans="1:15" x14ac:dyDescent="0.3">
      <c r="A2470" t="s">
        <v>1793</v>
      </c>
      <c r="B2470" t="s">
        <v>2372</v>
      </c>
      <c r="C2470" t="s">
        <v>2373</v>
      </c>
      <c r="D2470">
        <v>0</v>
      </c>
      <c r="E2470" t="s">
        <v>1447</v>
      </c>
      <c r="F2470" t="s">
        <v>2373</v>
      </c>
      <c r="G2470" t="s">
        <v>1826</v>
      </c>
      <c r="H2470" t="s">
        <v>1799</v>
      </c>
      <c r="I2470" t="s">
        <v>1799</v>
      </c>
      <c r="J2470" t="s">
        <v>1799</v>
      </c>
      <c r="K2470" t="s">
        <v>1799</v>
      </c>
      <c r="L2470" t="s">
        <v>1447</v>
      </c>
      <c r="M2470" t="s">
        <v>1799</v>
      </c>
      <c r="N2470" t="s">
        <v>1799</v>
      </c>
      <c r="O2470" s="184" t="str">
        <f>"["&amp;$C2470&amp;"]["&amp;$D2470&amp;"]["&amp;$F2470&amp;"]"</f>
        <v>[AircraftOperatorsVerificationReportChecks][0][AircraftOperatorsVerificationReportChecks]</v>
      </c>
    </row>
    <row r="2471" spans="1:15" x14ac:dyDescent="0.3">
      <c r="A2471" t="s">
        <v>1793</v>
      </c>
      <c r="B2471" t="s">
        <v>2372</v>
      </c>
      <c r="C2471" t="s">
        <v>2374</v>
      </c>
      <c r="D2471">
        <v>1</v>
      </c>
      <c r="E2471" t="s">
        <v>1447</v>
      </c>
      <c r="F2471" t="s">
        <v>2353</v>
      </c>
      <c r="G2471" t="s">
        <v>1892</v>
      </c>
      <c r="H2471" t="s">
        <v>1799</v>
      </c>
      <c r="I2471" t="s">
        <v>1799</v>
      </c>
      <c r="J2471">
        <v>1</v>
      </c>
      <c r="K2471" t="s">
        <v>1799</v>
      </c>
      <c r="L2471" t="s">
        <v>1799</v>
      </c>
      <c r="M2471" t="s">
        <v>1799</v>
      </c>
      <c r="N2471" t="s">
        <v>1799</v>
      </c>
      <c r="O2471" s="184" t="str">
        <f>"["&amp;$C2471&amp;"]["&amp;$D2471&amp;"]["&amp;$F2471&amp;"]"</f>
        <v>[S06_AircraftOperatorsVerificationEmissionReportChecks1][1][PercentageShare]</v>
      </c>
    </row>
    <row r="2472" spans="1:15" x14ac:dyDescent="0.3">
      <c r="A2472" t="s">
        <v>1793</v>
      </c>
      <c r="B2472" t="s">
        <v>2372</v>
      </c>
      <c r="C2472" t="s">
        <v>2374</v>
      </c>
      <c r="D2472">
        <v>2</v>
      </c>
      <c r="E2472" t="s">
        <v>1447</v>
      </c>
      <c r="F2472" t="s">
        <v>2353</v>
      </c>
      <c r="G2472" t="s">
        <v>1892</v>
      </c>
      <c r="H2472" t="s">
        <v>1799</v>
      </c>
      <c r="I2472" t="s">
        <v>1799</v>
      </c>
      <c r="J2472">
        <v>1</v>
      </c>
      <c r="K2472" t="s">
        <v>1799</v>
      </c>
      <c r="L2472" t="s">
        <v>1799</v>
      </c>
      <c r="M2472" t="s">
        <v>1799</v>
      </c>
      <c r="N2472" t="s">
        <v>1799</v>
      </c>
      <c r="O2472" s="184" t="str">
        <f>"["&amp;$C2472&amp;"]["&amp;$D2472&amp;"]["&amp;$F2472&amp;"]"</f>
        <v>[S06_AircraftOperatorsVerificationEmissionReportChecks1][2][PercentageShare]</v>
      </c>
    </row>
    <row r="2473" spans="1:15" x14ac:dyDescent="0.3">
      <c r="A2473" t="s">
        <v>1793</v>
      </c>
      <c r="B2473" t="s">
        <v>2372</v>
      </c>
      <c r="C2473" t="s">
        <v>2374</v>
      </c>
      <c r="D2473">
        <v>3</v>
      </c>
      <c r="E2473" t="s">
        <v>1447</v>
      </c>
      <c r="F2473" t="s">
        <v>2353</v>
      </c>
      <c r="G2473" t="s">
        <v>1892</v>
      </c>
      <c r="H2473" t="s">
        <v>1799</v>
      </c>
      <c r="I2473" t="s">
        <v>1799</v>
      </c>
      <c r="J2473">
        <v>1</v>
      </c>
      <c r="K2473" t="s">
        <v>1799</v>
      </c>
      <c r="L2473" t="s">
        <v>1799</v>
      </c>
      <c r="M2473" t="s">
        <v>1799</v>
      </c>
      <c r="N2473" t="s">
        <v>1799</v>
      </c>
      <c r="O2473" s="184" t="str">
        <f>"["&amp;$C2473&amp;"]["&amp;$D2473&amp;"]["&amp;$F2473&amp;"]"</f>
        <v>[S06_AircraftOperatorsVerificationEmissionReportChecks1][3][PercentageShare]</v>
      </c>
    </row>
    <row r="2474" spans="1:15" x14ac:dyDescent="0.3">
      <c r="A2474" t="s">
        <v>1793</v>
      </c>
      <c r="B2474" t="s">
        <v>2372</v>
      </c>
      <c r="C2474" t="s">
        <v>2374</v>
      </c>
      <c r="D2474">
        <v>4</v>
      </c>
      <c r="E2474" t="s">
        <v>1447</v>
      </c>
      <c r="F2474" t="s">
        <v>2353</v>
      </c>
      <c r="G2474" t="s">
        <v>1892</v>
      </c>
      <c r="H2474" t="s">
        <v>1799</v>
      </c>
      <c r="I2474" t="s">
        <v>1799</v>
      </c>
      <c r="J2474">
        <v>1</v>
      </c>
      <c r="K2474" t="s">
        <v>1799</v>
      </c>
      <c r="L2474" t="s">
        <v>1799</v>
      </c>
      <c r="M2474" t="s">
        <v>1799</v>
      </c>
      <c r="N2474" t="s">
        <v>1799</v>
      </c>
      <c r="O2474" s="184" t="str">
        <f>"["&amp;$C2474&amp;"]["&amp;$D2474&amp;"]["&amp;$F2474&amp;"]"</f>
        <v>[S06_AircraftOperatorsVerificationEmissionReportChecks1][4][PercentageShare]</v>
      </c>
    </row>
    <row r="2475" spans="1:15" x14ac:dyDescent="0.3">
      <c r="A2475" t="s">
        <v>1793</v>
      </c>
      <c r="B2475" t="s">
        <v>2372</v>
      </c>
      <c r="C2475" t="s">
        <v>2374</v>
      </c>
      <c r="D2475">
        <v>4</v>
      </c>
      <c r="E2475" t="s">
        <v>1447</v>
      </c>
      <c r="F2475" t="s">
        <v>2354</v>
      </c>
      <c r="G2475" t="s">
        <v>1869</v>
      </c>
      <c r="H2475" t="s">
        <v>1799</v>
      </c>
      <c r="I2475" t="s">
        <v>1799</v>
      </c>
      <c r="J2475" t="s">
        <v>1799</v>
      </c>
      <c r="K2475" t="s">
        <v>2375</v>
      </c>
      <c r="L2475" t="s">
        <v>1799</v>
      </c>
      <c r="M2475" t="s">
        <v>1799</v>
      </c>
      <c r="N2475" t="s">
        <v>1799</v>
      </c>
      <c r="O2475" s="184" t="str">
        <f>"["&amp;$C2475&amp;"]["&amp;$D2475&amp;"]["&amp;$F2475&amp;"]"</f>
        <v>[S06_AircraftOperatorsVerificationEmissionReportChecks1][4][FurtherInformation]</v>
      </c>
    </row>
    <row r="2476" spans="1:15" x14ac:dyDescent="0.3">
      <c r="A2476" t="s">
        <v>1793</v>
      </c>
      <c r="B2476" t="s">
        <v>2372</v>
      </c>
      <c r="C2476" t="s">
        <v>2374</v>
      </c>
      <c r="D2476">
        <v>4</v>
      </c>
      <c r="E2476" t="s">
        <v>1447</v>
      </c>
      <c r="F2476" t="s">
        <v>2357</v>
      </c>
      <c r="G2476" t="s">
        <v>1737</v>
      </c>
      <c r="H2476" t="s">
        <v>1799</v>
      </c>
      <c r="I2476" t="s">
        <v>1799</v>
      </c>
      <c r="J2476" t="s">
        <v>1799</v>
      </c>
      <c r="K2476" t="s">
        <v>1799</v>
      </c>
      <c r="L2476" t="s">
        <v>1527</v>
      </c>
      <c r="M2476" t="s">
        <v>1799</v>
      </c>
      <c r="N2476" t="s">
        <v>1799</v>
      </c>
      <c r="O2476" s="184" t="str">
        <f>"["&amp;$C2476&amp;"]["&amp;$D2476&amp;"]["&amp;$F2476&amp;"]"</f>
        <v>[S06_AircraftOperatorsVerificationEmissionReportChecks1][4][SelectingCriteria]</v>
      </c>
    </row>
    <row r="2477" spans="1:15" x14ac:dyDescent="0.3">
      <c r="A2477" t="s">
        <v>1793</v>
      </c>
      <c r="B2477" t="s">
        <v>2372</v>
      </c>
      <c r="C2477" t="s">
        <v>2376</v>
      </c>
      <c r="D2477">
        <v>1</v>
      </c>
      <c r="E2477" t="s">
        <v>1447</v>
      </c>
      <c r="F2477" t="s">
        <v>2359</v>
      </c>
      <c r="G2477" t="s">
        <v>1811</v>
      </c>
      <c r="H2477" t="s">
        <v>1799</v>
      </c>
      <c r="I2477">
        <v>0</v>
      </c>
      <c r="J2477" t="s">
        <v>1799</v>
      </c>
      <c r="K2477" t="s">
        <v>1799</v>
      </c>
      <c r="L2477" t="s">
        <v>1799</v>
      </c>
      <c r="M2477" t="s">
        <v>1799</v>
      </c>
      <c r="N2477" t="s">
        <v>1799</v>
      </c>
      <c r="O2477" s="184" t="str">
        <f>"["&amp;$C2477&amp;"]["&amp;$D2477&amp;"]["&amp;$F2477&amp;"]"</f>
        <v>[S06_AircraftOperatorsVerificationEmissionReportChecks2][1][NumberOfReports]</v>
      </c>
    </row>
    <row r="2478" spans="1:15" x14ac:dyDescent="0.3">
      <c r="A2478" t="s">
        <v>1793</v>
      </c>
      <c r="B2478" t="s">
        <v>2372</v>
      </c>
      <c r="C2478" t="s">
        <v>2376</v>
      </c>
      <c r="D2478">
        <v>2</v>
      </c>
      <c r="E2478" t="s">
        <v>1447</v>
      </c>
      <c r="F2478" t="s">
        <v>2359</v>
      </c>
      <c r="G2478" t="s">
        <v>1811</v>
      </c>
      <c r="H2478" t="s">
        <v>1799</v>
      </c>
      <c r="I2478">
        <v>0</v>
      </c>
      <c r="J2478" t="s">
        <v>1799</v>
      </c>
      <c r="K2478" t="s">
        <v>1799</v>
      </c>
      <c r="L2478" t="s">
        <v>1799</v>
      </c>
      <c r="M2478" t="s">
        <v>1799</v>
      </c>
      <c r="N2478" t="s">
        <v>1799</v>
      </c>
      <c r="O2478" s="184" t="str">
        <f>"["&amp;$C2478&amp;"]["&amp;$D2478&amp;"]["&amp;$F2478&amp;"]"</f>
        <v>[S06_AircraftOperatorsVerificationEmissionReportChecks2][2][NumberOfReports]</v>
      </c>
    </row>
    <row r="2479" spans="1:15" x14ac:dyDescent="0.3">
      <c r="A2479" t="s">
        <v>1793</v>
      </c>
      <c r="B2479" t="s">
        <v>2372</v>
      </c>
      <c r="C2479" t="s">
        <v>2377</v>
      </c>
      <c r="D2479">
        <v>1</v>
      </c>
      <c r="E2479" t="s">
        <v>1447</v>
      </c>
      <c r="F2479" t="s">
        <v>2361</v>
      </c>
      <c r="G2479" t="s">
        <v>1797</v>
      </c>
      <c r="H2479" t="s">
        <v>1954</v>
      </c>
      <c r="I2479" t="s">
        <v>1799</v>
      </c>
      <c r="J2479" t="s">
        <v>1799</v>
      </c>
      <c r="K2479" t="s">
        <v>1799</v>
      </c>
      <c r="L2479" t="s">
        <v>1799</v>
      </c>
      <c r="M2479" t="s">
        <v>1799</v>
      </c>
      <c r="N2479" t="s">
        <v>1799</v>
      </c>
      <c r="O2479" s="184" t="str">
        <f>"["&amp;$C2479&amp;"]["&amp;$D2479&amp;"]["&amp;$F2479&amp;"]"</f>
        <v>[S06_AircraftOperatorsVerificationEmissionReportChecks3][1][ActionsTaken]</v>
      </c>
    </row>
    <row r="2480" spans="1:15" x14ac:dyDescent="0.3">
      <c r="A2480" t="s">
        <v>1793</v>
      </c>
      <c r="B2480" t="s">
        <v>2372</v>
      </c>
      <c r="C2480" t="s">
        <v>2377</v>
      </c>
      <c r="D2480">
        <v>2</v>
      </c>
      <c r="E2480" t="s">
        <v>1419</v>
      </c>
      <c r="F2480" t="s">
        <v>2361</v>
      </c>
      <c r="G2480" t="s">
        <v>1869</v>
      </c>
      <c r="H2480" t="s">
        <v>1799</v>
      </c>
      <c r="I2480" t="s">
        <v>1799</v>
      </c>
      <c r="J2480" t="s">
        <v>1799</v>
      </c>
      <c r="K2480" t="s">
        <v>2378</v>
      </c>
      <c r="L2480" t="s">
        <v>1799</v>
      </c>
      <c r="M2480" t="s">
        <v>1799</v>
      </c>
      <c r="N2480" t="s">
        <v>1799</v>
      </c>
      <c r="O2480" s="184" t="str">
        <f>"["&amp;$C2480&amp;"]["&amp;$D2480&amp;"]["&amp;$F2480&amp;"]"</f>
        <v>[S06_AircraftOperatorsVerificationEmissionReportChecks3][2][ActionsTaken]</v>
      </c>
    </row>
    <row r="2481" spans="1:15" x14ac:dyDescent="0.3">
      <c r="A2481" t="s">
        <v>1793</v>
      </c>
      <c r="B2481" t="s">
        <v>2379</v>
      </c>
      <c r="C2481" t="s">
        <v>2380</v>
      </c>
      <c r="D2481">
        <v>0</v>
      </c>
      <c r="E2481" t="s">
        <v>1447</v>
      </c>
      <c r="F2481" t="s">
        <v>2380</v>
      </c>
      <c r="G2481" t="s">
        <v>1826</v>
      </c>
      <c r="H2481" t="s">
        <v>1799</v>
      </c>
      <c r="I2481" t="s">
        <v>1799</v>
      </c>
      <c r="J2481" t="s">
        <v>1799</v>
      </c>
      <c r="K2481" t="s">
        <v>1799</v>
      </c>
      <c r="L2481" t="s">
        <v>1419</v>
      </c>
      <c r="M2481" t="s">
        <v>1799</v>
      </c>
      <c r="N2481" t="s">
        <v>1799</v>
      </c>
      <c r="O2481" s="184" t="str">
        <f>"["&amp;$C2481&amp;"]["&amp;$D2481&amp;"]["&amp;$F2481&amp;"]"</f>
        <v>[VirtualVisitsAircraft][0][VirtualVisitsAircraft]</v>
      </c>
    </row>
    <row r="2482" spans="1:15" x14ac:dyDescent="0.3">
      <c r="A2482" t="s">
        <v>1793</v>
      </c>
      <c r="B2482" t="s">
        <v>2379</v>
      </c>
      <c r="C2482" t="s">
        <v>2381</v>
      </c>
      <c r="D2482">
        <v>1</v>
      </c>
      <c r="E2482" t="s">
        <v>1447</v>
      </c>
      <c r="F2482" t="s">
        <v>2382</v>
      </c>
      <c r="G2482" t="s">
        <v>1811</v>
      </c>
      <c r="H2482" t="s">
        <v>1799</v>
      </c>
      <c r="I2482">
        <v>11</v>
      </c>
      <c r="J2482" t="s">
        <v>1799</v>
      </c>
      <c r="K2482" t="s">
        <v>1799</v>
      </c>
      <c r="L2482" t="s">
        <v>1799</v>
      </c>
      <c r="M2482" t="s">
        <v>1799</v>
      </c>
      <c r="N2482" t="s">
        <v>1799</v>
      </c>
      <c r="O2482" s="184" t="str">
        <f>"["&amp;$C2482&amp;"]["&amp;$D2482&amp;"]["&amp;$F2482&amp;"]"</f>
        <v>[S06_VirtualVisitsAircraftDetails][1][NumberOfAirOperatorsVV]</v>
      </c>
    </row>
    <row r="2483" spans="1:15" x14ac:dyDescent="0.3">
      <c r="A2483" t="s">
        <v>1793</v>
      </c>
      <c r="B2483" t="s">
        <v>2379</v>
      </c>
      <c r="C2483" t="s">
        <v>2381</v>
      </c>
      <c r="D2483">
        <v>1</v>
      </c>
      <c r="E2483" t="s">
        <v>1447</v>
      </c>
      <c r="F2483" t="s">
        <v>2383</v>
      </c>
      <c r="G2483" t="s">
        <v>1737</v>
      </c>
      <c r="H2483" t="s">
        <v>1799</v>
      </c>
      <c r="I2483" t="s">
        <v>1799</v>
      </c>
      <c r="J2483" t="s">
        <v>1799</v>
      </c>
      <c r="K2483" t="s">
        <v>1799</v>
      </c>
      <c r="L2483" t="s">
        <v>1470</v>
      </c>
      <c r="M2483" t="s">
        <v>1799</v>
      </c>
      <c r="N2483" t="s">
        <v>1799</v>
      </c>
      <c r="O2483" s="184" t="str">
        <f>"["&amp;$C2483&amp;"]["&amp;$D2483&amp;"]["&amp;$F2483&amp;"]"</f>
        <v>[S06_VirtualVisitsAircraftDetails][1][AuthorityApproval]</v>
      </c>
    </row>
    <row r="2484" spans="1:15" x14ac:dyDescent="0.3">
      <c r="A2484" t="s">
        <v>1793</v>
      </c>
      <c r="B2484" t="s">
        <v>2379</v>
      </c>
      <c r="C2484" t="s">
        <v>2381</v>
      </c>
      <c r="D2484">
        <v>1</v>
      </c>
      <c r="E2484" t="s">
        <v>1447</v>
      </c>
      <c r="F2484" t="s">
        <v>2384</v>
      </c>
      <c r="G2484" t="s">
        <v>1797</v>
      </c>
      <c r="H2484" t="s">
        <v>2385</v>
      </c>
      <c r="I2484" t="s">
        <v>1799</v>
      </c>
      <c r="J2484" t="s">
        <v>1799</v>
      </c>
      <c r="K2484" t="s">
        <v>1799</v>
      </c>
      <c r="L2484" t="s">
        <v>1799</v>
      </c>
      <c r="M2484" t="s">
        <v>1799</v>
      </c>
      <c r="N2484" t="s">
        <v>1799</v>
      </c>
      <c r="O2484" s="184" t="str">
        <f>"["&amp;$C2484&amp;"]["&amp;$D2484&amp;"]["&amp;$F2484&amp;"]"</f>
        <v>[S06_VirtualVisitsAircraftDetails][1][ConfirmationConditionsMet]</v>
      </c>
    </row>
    <row r="2485" spans="1:15" x14ac:dyDescent="0.3">
      <c r="A2485" t="s">
        <v>1793</v>
      </c>
      <c r="B2485" t="s">
        <v>2386</v>
      </c>
      <c r="C2485" t="s">
        <v>2387</v>
      </c>
      <c r="D2485">
        <v>0</v>
      </c>
      <c r="E2485" t="s">
        <v>1447</v>
      </c>
      <c r="F2485" t="s">
        <v>2387</v>
      </c>
      <c r="G2485" t="s">
        <v>1811</v>
      </c>
      <c r="H2485" t="s">
        <v>1799</v>
      </c>
      <c r="I2485">
        <v>0</v>
      </c>
      <c r="J2485" t="s">
        <v>1799</v>
      </c>
      <c r="K2485" t="s">
        <v>1799</v>
      </c>
      <c r="L2485" t="s">
        <v>1799</v>
      </c>
      <c r="M2485" t="s">
        <v>1799</v>
      </c>
      <c r="N2485" t="s">
        <v>1799</v>
      </c>
      <c r="O2485" s="184" t="str">
        <f>"["&amp;$C2485&amp;"]["&amp;$D2485&amp;"]["&amp;$F2485&amp;"]"</f>
        <v>[AircraftOperatorsMandateArt15UseNumber][0][AircraftOperatorsMandateArt15UseNumber]</v>
      </c>
    </row>
    <row r="2486" spans="1:15" x14ac:dyDescent="0.3">
      <c r="A2486" t="s">
        <v>1793</v>
      </c>
      <c r="B2486" t="s">
        <v>2388</v>
      </c>
      <c r="C2486" t="s">
        <v>2389</v>
      </c>
      <c r="D2486">
        <v>0</v>
      </c>
      <c r="E2486" t="s">
        <v>1447</v>
      </c>
      <c r="F2486" t="s">
        <v>2389</v>
      </c>
      <c r="G2486" t="s">
        <v>1826</v>
      </c>
      <c r="H2486" t="s">
        <v>1799</v>
      </c>
      <c r="I2486" t="s">
        <v>1799</v>
      </c>
      <c r="J2486" t="s">
        <v>1799</v>
      </c>
      <c r="K2486" t="s">
        <v>1799</v>
      </c>
      <c r="L2486" t="s">
        <v>1447</v>
      </c>
      <c r="M2486" t="s">
        <v>1799</v>
      </c>
      <c r="N2486" t="s">
        <v>1799</v>
      </c>
      <c r="O2486" s="184" t="str">
        <f>"["&amp;$C2486&amp;"]["&amp;$D2486&amp;"]["&amp;$F2486&amp;"]"</f>
        <v>[CommissionTemplatesAllocation][0][CommissionTemplatesAllocation]</v>
      </c>
    </row>
    <row r="2487" spans="1:15" x14ac:dyDescent="0.3">
      <c r="A2487" t="s">
        <v>1793</v>
      </c>
      <c r="B2487" t="s">
        <v>2388</v>
      </c>
      <c r="C2487" t="s">
        <v>2390</v>
      </c>
      <c r="D2487">
        <v>1</v>
      </c>
      <c r="E2487" t="s">
        <v>1447</v>
      </c>
      <c r="F2487" t="s">
        <v>1934</v>
      </c>
      <c r="G2487" t="s">
        <v>1737</v>
      </c>
      <c r="H2487" t="s">
        <v>1799</v>
      </c>
      <c r="I2487" t="s">
        <v>1799</v>
      </c>
      <c r="J2487" t="s">
        <v>1799</v>
      </c>
      <c r="K2487" t="s">
        <v>1799</v>
      </c>
      <c r="L2487" t="s">
        <v>1452</v>
      </c>
      <c r="M2487" t="s">
        <v>1799</v>
      </c>
      <c r="N2487" t="s">
        <v>1799</v>
      </c>
      <c r="O2487" s="184" t="str">
        <f>"["&amp;$C2487&amp;"]["&amp;$D2487&amp;"]["&amp;$F2487&amp;"]"</f>
        <v>[S08_MSCustomisedTemplatesAllocation][1][SpecificTemplateOrFileFormat]</v>
      </c>
    </row>
    <row r="2488" spans="1:15" x14ac:dyDescent="0.3">
      <c r="A2488" t="s">
        <v>1793</v>
      </c>
      <c r="B2488" t="s">
        <v>2388</v>
      </c>
      <c r="C2488" t="s">
        <v>2390</v>
      </c>
      <c r="D2488">
        <v>2</v>
      </c>
      <c r="E2488" t="s">
        <v>1447</v>
      </c>
      <c r="F2488" t="s">
        <v>1934</v>
      </c>
      <c r="G2488" t="s">
        <v>1737</v>
      </c>
      <c r="H2488" t="s">
        <v>1799</v>
      </c>
      <c r="I2488" t="s">
        <v>1799</v>
      </c>
      <c r="J2488" t="s">
        <v>1799</v>
      </c>
      <c r="K2488" t="s">
        <v>1799</v>
      </c>
      <c r="L2488" t="s">
        <v>1452</v>
      </c>
      <c r="M2488" t="s">
        <v>1799</v>
      </c>
      <c r="N2488" t="s">
        <v>1799</v>
      </c>
      <c r="O2488" s="184" t="str">
        <f>"["&amp;$C2488&amp;"]["&amp;$D2488&amp;"]["&amp;$F2488&amp;"]"</f>
        <v>[S08_MSCustomisedTemplatesAllocation][2][SpecificTemplateOrFileFormat]</v>
      </c>
    </row>
    <row r="2489" spans="1:15" x14ac:dyDescent="0.3">
      <c r="A2489" t="s">
        <v>1793</v>
      </c>
      <c r="B2489" t="s">
        <v>2388</v>
      </c>
      <c r="C2489" t="s">
        <v>2390</v>
      </c>
      <c r="D2489">
        <v>3</v>
      </c>
      <c r="E2489" t="s">
        <v>1447</v>
      </c>
      <c r="F2489" t="s">
        <v>1934</v>
      </c>
      <c r="G2489" t="s">
        <v>1737</v>
      </c>
      <c r="H2489" t="s">
        <v>1799</v>
      </c>
      <c r="I2489" t="s">
        <v>1799</v>
      </c>
      <c r="J2489" t="s">
        <v>1799</v>
      </c>
      <c r="K2489" t="s">
        <v>1799</v>
      </c>
      <c r="L2489" t="s">
        <v>1452</v>
      </c>
      <c r="M2489" t="s">
        <v>1799</v>
      </c>
      <c r="N2489" t="s">
        <v>1799</v>
      </c>
      <c r="O2489" s="184" t="str">
        <f>"["&amp;$C2489&amp;"]["&amp;$D2489&amp;"]["&amp;$F2489&amp;"]"</f>
        <v>[S08_MSCustomisedTemplatesAllocation][3][SpecificTemplateOrFileFormat]</v>
      </c>
    </row>
    <row r="2490" spans="1:15" x14ac:dyDescent="0.3">
      <c r="A2490" t="s">
        <v>1793</v>
      </c>
      <c r="B2490" t="s">
        <v>2388</v>
      </c>
      <c r="C2490" t="s">
        <v>2390</v>
      </c>
      <c r="D2490">
        <v>4</v>
      </c>
      <c r="E2490" t="s">
        <v>1447</v>
      </c>
      <c r="F2490" t="s">
        <v>1934</v>
      </c>
      <c r="G2490" t="s">
        <v>1737</v>
      </c>
      <c r="H2490" t="s">
        <v>1799</v>
      </c>
      <c r="I2490" t="s">
        <v>1799</v>
      </c>
      <c r="J2490" t="s">
        <v>1799</v>
      </c>
      <c r="K2490" t="s">
        <v>1799</v>
      </c>
      <c r="L2490" t="s">
        <v>1452</v>
      </c>
      <c r="M2490" t="s">
        <v>1799</v>
      </c>
      <c r="N2490" t="s">
        <v>1799</v>
      </c>
      <c r="O2490" s="184" t="str">
        <f>"["&amp;$C2490&amp;"]["&amp;$D2490&amp;"]["&amp;$F2490&amp;"]"</f>
        <v>[S08_MSCustomisedTemplatesAllocation][4][SpecificTemplateOrFileFormat]</v>
      </c>
    </row>
    <row r="2491" spans="1:15" x14ac:dyDescent="0.3">
      <c r="A2491" t="s">
        <v>1793</v>
      </c>
      <c r="B2491" t="s">
        <v>2388</v>
      </c>
      <c r="C2491" t="s">
        <v>2390</v>
      </c>
      <c r="D2491">
        <v>1</v>
      </c>
      <c r="E2491" t="s">
        <v>1447</v>
      </c>
      <c r="F2491" t="s">
        <v>1935</v>
      </c>
      <c r="G2491" t="s">
        <v>1797</v>
      </c>
      <c r="H2491" t="s">
        <v>2391</v>
      </c>
      <c r="I2491" t="s">
        <v>1799</v>
      </c>
      <c r="J2491" t="s">
        <v>1799</v>
      </c>
      <c r="K2491" t="s">
        <v>1799</v>
      </c>
      <c r="L2491" t="s">
        <v>1799</v>
      </c>
      <c r="M2491" t="s">
        <v>1799</v>
      </c>
      <c r="N2491" t="s">
        <v>1799</v>
      </c>
      <c r="O2491" s="184" t="str">
        <f>"["&amp;$C2491&amp;"]["&amp;$D2491&amp;"]["&amp;$F2491&amp;"]"</f>
        <v>[S08_MSCustomisedTemplatesAllocation][1][HowTemplateSpecific]</v>
      </c>
    </row>
    <row r="2492" spans="1:15" x14ac:dyDescent="0.3">
      <c r="A2492" t="s">
        <v>1793</v>
      </c>
      <c r="B2492" t="s">
        <v>2388</v>
      </c>
      <c r="C2492" t="s">
        <v>2390</v>
      </c>
      <c r="D2492">
        <v>2</v>
      </c>
      <c r="E2492" t="s">
        <v>1447</v>
      </c>
      <c r="F2492" t="s">
        <v>1935</v>
      </c>
      <c r="G2492" t="s">
        <v>1797</v>
      </c>
      <c r="H2492" t="s">
        <v>2391</v>
      </c>
      <c r="I2492" t="s">
        <v>1799</v>
      </c>
      <c r="J2492" t="s">
        <v>1799</v>
      </c>
      <c r="K2492" t="s">
        <v>1799</v>
      </c>
      <c r="L2492" t="s">
        <v>1799</v>
      </c>
      <c r="M2492" t="s">
        <v>1799</v>
      </c>
      <c r="N2492" t="s">
        <v>1799</v>
      </c>
      <c r="O2492" s="184" t="str">
        <f>"["&amp;$C2492&amp;"]["&amp;$D2492&amp;"]["&amp;$F2492&amp;"]"</f>
        <v>[S08_MSCustomisedTemplatesAllocation][2][HowTemplateSpecific]</v>
      </c>
    </row>
    <row r="2493" spans="1:15" x14ac:dyDescent="0.3">
      <c r="A2493" t="s">
        <v>1793</v>
      </c>
      <c r="B2493" t="s">
        <v>2388</v>
      </c>
      <c r="C2493" t="s">
        <v>2390</v>
      </c>
      <c r="D2493">
        <v>3</v>
      </c>
      <c r="E2493" t="s">
        <v>1447</v>
      </c>
      <c r="F2493" t="s">
        <v>1935</v>
      </c>
      <c r="G2493" t="s">
        <v>1797</v>
      </c>
      <c r="H2493" t="s">
        <v>2391</v>
      </c>
      <c r="I2493" t="s">
        <v>1799</v>
      </c>
      <c r="J2493" t="s">
        <v>1799</v>
      </c>
      <c r="K2493" t="s">
        <v>1799</v>
      </c>
      <c r="L2493" t="s">
        <v>1799</v>
      </c>
      <c r="M2493" t="s">
        <v>1799</v>
      </c>
      <c r="N2493" t="s">
        <v>1799</v>
      </c>
      <c r="O2493" s="184" t="str">
        <f>"["&amp;$C2493&amp;"]["&amp;$D2493&amp;"]["&amp;$F2493&amp;"]"</f>
        <v>[S08_MSCustomisedTemplatesAllocation][3][HowTemplateSpecific]</v>
      </c>
    </row>
    <row r="2494" spans="1:15" x14ac:dyDescent="0.3">
      <c r="A2494" t="s">
        <v>1793</v>
      </c>
      <c r="B2494" t="s">
        <v>2388</v>
      </c>
      <c r="C2494" t="s">
        <v>2390</v>
      </c>
      <c r="D2494">
        <v>4</v>
      </c>
      <c r="E2494" t="s">
        <v>1447</v>
      </c>
      <c r="F2494" t="s">
        <v>1935</v>
      </c>
      <c r="G2494" t="s">
        <v>1797</v>
      </c>
      <c r="H2494" t="s">
        <v>2391</v>
      </c>
      <c r="I2494" t="s">
        <v>1799</v>
      </c>
      <c r="J2494" t="s">
        <v>1799</v>
      </c>
      <c r="K2494" t="s">
        <v>1799</v>
      </c>
      <c r="L2494" t="s">
        <v>1799</v>
      </c>
      <c r="M2494" t="s">
        <v>1799</v>
      </c>
      <c r="N2494" t="s">
        <v>1799</v>
      </c>
      <c r="O2494" s="184" t="str">
        <f>"["&amp;$C2494&amp;"]["&amp;$D2494&amp;"]["&amp;$F2494&amp;"]"</f>
        <v>[S08_MSCustomisedTemplatesAllocation][4][HowTemplateSpecific]</v>
      </c>
    </row>
    <row r="2495" spans="1:15" x14ac:dyDescent="0.3">
      <c r="A2495" t="s">
        <v>1793</v>
      </c>
      <c r="B2495" t="s">
        <v>2392</v>
      </c>
      <c r="C2495" t="s">
        <v>2393</v>
      </c>
      <c r="D2495">
        <v>0</v>
      </c>
      <c r="E2495" t="s">
        <v>1447</v>
      </c>
      <c r="F2495" t="s">
        <v>2393</v>
      </c>
      <c r="G2495" t="s">
        <v>1826</v>
      </c>
      <c r="H2495" t="s">
        <v>1799</v>
      </c>
      <c r="I2495" t="s">
        <v>1799</v>
      </c>
      <c r="J2495" t="s">
        <v>1799</v>
      </c>
      <c r="K2495" t="s">
        <v>1799</v>
      </c>
      <c r="L2495" t="s">
        <v>1447</v>
      </c>
      <c r="M2495" t="s">
        <v>1799</v>
      </c>
      <c r="N2495" t="s">
        <v>1799</v>
      </c>
      <c r="O2495" s="184" t="str">
        <f>"["&amp;$C2495&amp;"]["&amp;$D2495&amp;"]["&amp;$F2495&amp;"]"</f>
        <v>[FeesAllocation][0][FeesAllocation]</v>
      </c>
    </row>
    <row r="2496" spans="1:15" x14ac:dyDescent="0.3">
      <c r="A2496" t="s">
        <v>1793</v>
      </c>
      <c r="B2496" t="s">
        <v>2394</v>
      </c>
      <c r="C2496" t="s">
        <v>2395</v>
      </c>
      <c r="D2496">
        <v>0</v>
      </c>
      <c r="E2496" t="s">
        <v>1447</v>
      </c>
      <c r="F2496" t="s">
        <v>2395</v>
      </c>
      <c r="G2496" t="s">
        <v>1826</v>
      </c>
      <c r="H2496" t="s">
        <v>1799</v>
      </c>
      <c r="I2496" t="s">
        <v>1799</v>
      </c>
      <c r="J2496" t="s">
        <v>1799</v>
      </c>
      <c r="K2496" t="s">
        <v>1799</v>
      </c>
      <c r="L2496" t="s">
        <v>1419</v>
      </c>
      <c r="M2496" t="s">
        <v>1799</v>
      </c>
      <c r="N2496" t="s">
        <v>1799</v>
      </c>
      <c r="O2496" s="184" t="str">
        <f>"["&amp;$C2496&amp;"]["&amp;$D2496&amp;"]["&amp;$F2496&amp;"]"</f>
        <v>[ITforAllocationData][0][ITforAllocationData]</v>
      </c>
    </row>
    <row r="2497" spans="1:15" x14ac:dyDescent="0.3">
      <c r="A2497" t="s">
        <v>1793</v>
      </c>
      <c r="B2497" t="s">
        <v>2396</v>
      </c>
      <c r="C2497" t="s">
        <v>2397</v>
      </c>
      <c r="D2497">
        <v>1</v>
      </c>
      <c r="E2497" t="s">
        <v>1447</v>
      </c>
      <c r="F2497" t="s">
        <v>1884</v>
      </c>
      <c r="G2497" t="s">
        <v>1811</v>
      </c>
      <c r="H2497" t="s">
        <v>1799</v>
      </c>
      <c r="I2497">
        <v>134</v>
      </c>
      <c r="J2497" t="s">
        <v>1799</v>
      </c>
      <c r="K2497" t="s">
        <v>1799</v>
      </c>
      <c r="L2497" t="s">
        <v>1799</v>
      </c>
      <c r="M2497" t="s">
        <v>1799</v>
      </c>
      <c r="N2497" t="s">
        <v>1799</v>
      </c>
      <c r="O2497" s="184" t="str">
        <f>"["&amp;$C2497&amp;"]["&amp;$D2497&amp;"]["&amp;$F2497&amp;"]"</f>
        <v>[S08_RenunciationSuspensionAllowances][1][NumberOfInstallations]</v>
      </c>
    </row>
    <row r="2498" spans="1:15" x14ac:dyDescent="0.3">
      <c r="A2498" t="s">
        <v>1793</v>
      </c>
      <c r="B2498" t="s">
        <v>2396</v>
      </c>
      <c r="C2498" t="s">
        <v>2397</v>
      </c>
      <c r="D2498">
        <v>2</v>
      </c>
      <c r="E2498" t="s">
        <v>1447</v>
      </c>
      <c r="F2498" t="s">
        <v>1884</v>
      </c>
      <c r="G2498" t="s">
        <v>1811</v>
      </c>
      <c r="H2498" t="s">
        <v>1799</v>
      </c>
      <c r="I2498">
        <v>12</v>
      </c>
      <c r="J2498" t="s">
        <v>1799</v>
      </c>
      <c r="K2498" t="s">
        <v>1799</v>
      </c>
      <c r="L2498" t="s">
        <v>1799</v>
      </c>
      <c r="M2498" t="s">
        <v>1799</v>
      </c>
      <c r="N2498" t="s">
        <v>1799</v>
      </c>
      <c r="O2498" s="184" t="str">
        <f>"["&amp;$C2498&amp;"]["&amp;$D2498&amp;"]["&amp;$F2498&amp;"]"</f>
        <v>[S08_RenunciationSuspensionAllowances][2][NumberOfInstallations]</v>
      </c>
    </row>
    <row r="2499" spans="1:15" x14ac:dyDescent="0.3">
      <c r="A2499" t="s">
        <v>1793</v>
      </c>
      <c r="B2499" t="s">
        <v>2396</v>
      </c>
      <c r="C2499" t="s">
        <v>2397</v>
      </c>
      <c r="D2499">
        <v>3</v>
      </c>
      <c r="E2499" t="s">
        <v>1447</v>
      </c>
      <c r="F2499" t="s">
        <v>1884</v>
      </c>
      <c r="G2499" t="s">
        <v>1811</v>
      </c>
      <c r="H2499" t="s">
        <v>1799</v>
      </c>
      <c r="I2499">
        <v>445</v>
      </c>
      <c r="J2499" t="s">
        <v>1799</v>
      </c>
      <c r="K2499" t="s">
        <v>1799</v>
      </c>
      <c r="L2499" t="s">
        <v>1799</v>
      </c>
      <c r="M2499" t="s">
        <v>1799</v>
      </c>
      <c r="N2499" t="s">
        <v>1799</v>
      </c>
      <c r="O2499" s="184" t="str">
        <f>"["&amp;$C2499&amp;"]["&amp;$D2499&amp;"]["&amp;$F2499&amp;"]"</f>
        <v>[S08_RenunciationSuspensionAllowances][3][NumberOfInstallations]</v>
      </c>
    </row>
    <row r="2500" spans="1:15" x14ac:dyDescent="0.3">
      <c r="A2500" t="s">
        <v>1793</v>
      </c>
      <c r="B2500" t="s">
        <v>2398</v>
      </c>
      <c r="C2500" t="s">
        <v>2399</v>
      </c>
      <c r="D2500">
        <v>0</v>
      </c>
      <c r="E2500" t="s">
        <v>1447</v>
      </c>
      <c r="F2500" t="s">
        <v>2399</v>
      </c>
      <c r="G2500" t="s">
        <v>1826</v>
      </c>
      <c r="H2500" t="s">
        <v>1799</v>
      </c>
      <c r="I2500" t="s">
        <v>1799</v>
      </c>
      <c r="J2500" t="s">
        <v>1799</v>
      </c>
      <c r="K2500" t="s">
        <v>1799</v>
      </c>
      <c r="L2500" t="s">
        <v>1447</v>
      </c>
      <c r="M2500" t="s">
        <v>1799</v>
      </c>
      <c r="N2500" t="s">
        <v>1799</v>
      </c>
      <c r="O2500" s="184" t="str">
        <f>"["&amp;$C2500&amp;"]["&amp;$D2500&amp;"]["&amp;$F2500&amp;"]"</f>
        <v>[SubInstallationBenchmark61][0][SubInstallationBenchmark61]</v>
      </c>
    </row>
    <row r="2501" spans="1:15" x14ac:dyDescent="0.3">
      <c r="A2501" t="s">
        <v>1793</v>
      </c>
      <c r="B2501" t="s">
        <v>2398</v>
      </c>
      <c r="C2501" t="s">
        <v>2400</v>
      </c>
      <c r="D2501">
        <v>0</v>
      </c>
      <c r="E2501" t="s">
        <v>1447</v>
      </c>
      <c r="F2501" t="s">
        <v>2400</v>
      </c>
      <c r="G2501" t="s">
        <v>1826</v>
      </c>
      <c r="H2501" t="s">
        <v>1799</v>
      </c>
      <c r="I2501" t="s">
        <v>1799</v>
      </c>
      <c r="J2501" t="s">
        <v>1799</v>
      </c>
      <c r="K2501" t="s">
        <v>1799</v>
      </c>
      <c r="L2501" t="s">
        <v>1419</v>
      </c>
      <c r="M2501" t="s">
        <v>1799</v>
      </c>
      <c r="N2501" t="s">
        <v>1799</v>
      </c>
      <c r="O2501" s="184" t="str">
        <f>"["&amp;$C2501&amp;"]["&amp;$D2501&amp;"]["&amp;$F2501&amp;"]"</f>
        <v>[SubInstallationBenchmark61Reject][0][SubInstallationBenchmark61Reject]</v>
      </c>
    </row>
    <row r="2502" spans="1:15" x14ac:dyDescent="0.3">
      <c r="A2502" t="s">
        <v>1793</v>
      </c>
      <c r="B2502" t="s">
        <v>2398</v>
      </c>
      <c r="C2502" t="s">
        <v>2401</v>
      </c>
      <c r="D2502">
        <v>1</v>
      </c>
      <c r="E2502" t="s">
        <v>1447</v>
      </c>
      <c r="F2502" t="s">
        <v>2402</v>
      </c>
      <c r="G2502" t="s">
        <v>1811</v>
      </c>
      <c r="H2502" t="s">
        <v>1799</v>
      </c>
      <c r="I2502">
        <v>5</v>
      </c>
      <c r="J2502" t="s">
        <v>1799</v>
      </c>
      <c r="K2502" t="s">
        <v>1799</v>
      </c>
      <c r="L2502" t="s">
        <v>1799</v>
      </c>
      <c r="M2502" t="s">
        <v>1799</v>
      </c>
      <c r="N2502" t="s">
        <v>1799</v>
      </c>
      <c r="O2502" s="184" t="str">
        <f>"["&amp;$C2502&amp;"]["&amp;$D2502&amp;"]["&amp;$F2502&amp;"]"</f>
        <v>[S08_SubInstallationBenchmark61RejectDetail][1][FuelBenchmark]</v>
      </c>
    </row>
    <row r="2503" spans="1:15" x14ac:dyDescent="0.3">
      <c r="A2503" t="s">
        <v>1793</v>
      </c>
      <c r="B2503" t="s">
        <v>2398</v>
      </c>
      <c r="C2503" t="s">
        <v>2401</v>
      </c>
      <c r="D2503">
        <v>1</v>
      </c>
      <c r="E2503" t="s">
        <v>1447</v>
      </c>
      <c r="F2503" t="s">
        <v>2403</v>
      </c>
      <c r="G2503" t="s">
        <v>1811</v>
      </c>
      <c r="H2503" t="s">
        <v>1799</v>
      </c>
      <c r="I2503">
        <v>6</v>
      </c>
      <c r="J2503" t="s">
        <v>1799</v>
      </c>
      <c r="K2503" t="s">
        <v>1799</v>
      </c>
      <c r="L2503" t="s">
        <v>1799</v>
      </c>
      <c r="M2503" t="s">
        <v>1799</v>
      </c>
      <c r="N2503" t="s">
        <v>1799</v>
      </c>
      <c r="O2503" s="184" t="str">
        <f>"["&amp;$C2503&amp;"]["&amp;$D2503&amp;"]["&amp;$F2503&amp;"]"</f>
        <v>[S08_SubInstallationBenchmark61RejectDetail][1][HeatBenchmark]</v>
      </c>
    </row>
    <row r="2504" spans="1:15" x14ac:dyDescent="0.3">
      <c r="A2504" t="s">
        <v>1793</v>
      </c>
      <c r="B2504" t="s">
        <v>2398</v>
      </c>
      <c r="C2504" t="s">
        <v>2404</v>
      </c>
      <c r="D2504">
        <v>0</v>
      </c>
      <c r="E2504" t="s">
        <v>1447</v>
      </c>
      <c r="F2504" t="s">
        <v>2404</v>
      </c>
      <c r="G2504" t="s">
        <v>1826</v>
      </c>
      <c r="H2504" t="s">
        <v>1799</v>
      </c>
      <c r="I2504" t="s">
        <v>1799</v>
      </c>
      <c r="J2504" t="s">
        <v>1799</v>
      </c>
      <c r="K2504" t="s">
        <v>1799</v>
      </c>
      <c r="L2504" t="s">
        <v>1419</v>
      </c>
      <c r="M2504" t="s">
        <v>1799</v>
      </c>
      <c r="N2504" t="s">
        <v>1799</v>
      </c>
      <c r="O2504" s="184" t="str">
        <f>"["&amp;$C2504&amp;"]["&amp;$D2504&amp;"]["&amp;$F2504&amp;"]"</f>
        <v>[SubInstallationBenchmark62][0][SubInstallationBenchmark62]</v>
      </c>
    </row>
    <row r="2505" spans="1:15" x14ac:dyDescent="0.3">
      <c r="A2505" t="s">
        <v>1793</v>
      </c>
      <c r="B2505" t="s">
        <v>2398</v>
      </c>
      <c r="C2505" t="s">
        <v>2405</v>
      </c>
      <c r="D2505">
        <v>1</v>
      </c>
      <c r="E2505" t="s">
        <v>1447</v>
      </c>
      <c r="F2505" t="s">
        <v>2402</v>
      </c>
      <c r="G2505" t="s">
        <v>1811</v>
      </c>
      <c r="H2505" t="s">
        <v>1799</v>
      </c>
      <c r="I2505">
        <v>4</v>
      </c>
      <c r="J2505" t="s">
        <v>1799</v>
      </c>
      <c r="K2505" t="s">
        <v>1799</v>
      </c>
      <c r="L2505" t="s">
        <v>1799</v>
      </c>
      <c r="M2505" t="s">
        <v>1799</v>
      </c>
      <c r="N2505" t="s">
        <v>1799</v>
      </c>
      <c r="O2505" s="184" t="str">
        <f>"["&amp;$C2505&amp;"]["&amp;$D2505&amp;"]["&amp;$F2505&amp;"]"</f>
        <v>[S08_SubInstallationBenchmark62Detail][1][FuelBenchmark]</v>
      </c>
    </row>
    <row r="2506" spans="1:15" x14ac:dyDescent="0.3">
      <c r="A2506" t="s">
        <v>1793</v>
      </c>
      <c r="B2506" t="s">
        <v>2398</v>
      </c>
      <c r="C2506" t="s">
        <v>2405</v>
      </c>
      <c r="D2506">
        <v>1</v>
      </c>
      <c r="E2506" t="s">
        <v>1447</v>
      </c>
      <c r="F2506" t="s">
        <v>2403</v>
      </c>
      <c r="G2506" t="s">
        <v>1811</v>
      </c>
      <c r="H2506" t="s">
        <v>1799</v>
      </c>
      <c r="I2506">
        <v>4</v>
      </c>
      <c r="J2506" t="s">
        <v>1799</v>
      </c>
      <c r="K2506" t="s">
        <v>1799</v>
      </c>
      <c r="L2506" t="s">
        <v>1799</v>
      </c>
      <c r="M2506" t="s">
        <v>1799</v>
      </c>
      <c r="N2506" t="s">
        <v>1799</v>
      </c>
      <c r="O2506" s="184" t="str">
        <f>"["&amp;$C2506&amp;"]["&amp;$D2506&amp;"]["&amp;$F2506&amp;"]"</f>
        <v>[S08_SubInstallationBenchmark62Detail][1][HeatBenchmark]</v>
      </c>
    </row>
    <row r="2507" spans="1:15" x14ac:dyDescent="0.3">
      <c r="A2507" t="s">
        <v>1793</v>
      </c>
      <c r="B2507" t="s">
        <v>2406</v>
      </c>
      <c r="C2507" t="s">
        <v>2407</v>
      </c>
      <c r="D2507">
        <v>3</v>
      </c>
      <c r="E2507" t="s">
        <v>1447</v>
      </c>
      <c r="F2507" t="s">
        <v>1884</v>
      </c>
      <c r="G2507" t="s">
        <v>1811</v>
      </c>
      <c r="H2507" t="s">
        <v>1799</v>
      </c>
      <c r="I2507">
        <v>1</v>
      </c>
      <c r="J2507" t="s">
        <v>1799</v>
      </c>
      <c r="K2507" t="s">
        <v>1799</v>
      </c>
      <c r="L2507" t="s">
        <v>1799</v>
      </c>
      <c r="M2507" t="s">
        <v>1799</v>
      </c>
      <c r="N2507" t="s">
        <v>1799</v>
      </c>
      <c r="O2507" s="184" t="str">
        <f>"["&amp;$C2507&amp;"]["&amp;$D2507&amp;"]["&amp;$F2507&amp;"]"</f>
        <v>[S08_ScopeExclusion][3][NumberOfInstallations]</v>
      </c>
    </row>
    <row r="2508" spans="1:15" x14ac:dyDescent="0.3">
      <c r="A2508" t="s">
        <v>1793</v>
      </c>
      <c r="B2508" t="s">
        <v>2406</v>
      </c>
      <c r="C2508" t="s">
        <v>2407</v>
      </c>
      <c r="D2508">
        <v>4</v>
      </c>
      <c r="E2508" t="s">
        <v>1447</v>
      </c>
      <c r="F2508" t="s">
        <v>1884</v>
      </c>
      <c r="G2508" t="s">
        <v>1811</v>
      </c>
      <c r="H2508" t="s">
        <v>1799</v>
      </c>
      <c r="I2508">
        <v>5</v>
      </c>
      <c r="J2508" t="s">
        <v>1799</v>
      </c>
      <c r="K2508" t="s">
        <v>1799</v>
      </c>
      <c r="L2508" t="s">
        <v>1799</v>
      </c>
      <c r="M2508" t="s">
        <v>1799</v>
      </c>
      <c r="N2508" t="s">
        <v>1799</v>
      </c>
      <c r="O2508" s="184" t="str">
        <f>"["&amp;$C2508&amp;"]["&amp;$D2508&amp;"]["&amp;$F2508&amp;"]"</f>
        <v>[S08_ScopeExclusion][4][NumberOfInstallations]</v>
      </c>
    </row>
    <row r="2509" spans="1:15" x14ac:dyDescent="0.3">
      <c r="A2509" t="s">
        <v>1793</v>
      </c>
      <c r="B2509" t="s">
        <v>2408</v>
      </c>
      <c r="C2509" t="s">
        <v>2409</v>
      </c>
      <c r="D2509">
        <v>0</v>
      </c>
      <c r="E2509" t="s">
        <v>1447</v>
      </c>
      <c r="F2509" t="s">
        <v>2409</v>
      </c>
      <c r="G2509" t="s">
        <v>1826</v>
      </c>
      <c r="H2509" t="s">
        <v>1799</v>
      </c>
      <c r="I2509" t="s">
        <v>1799</v>
      </c>
      <c r="J2509" t="s">
        <v>1799</v>
      </c>
      <c r="K2509" t="s">
        <v>1799</v>
      </c>
      <c r="L2509" t="s">
        <v>1447</v>
      </c>
      <c r="M2509" t="s">
        <v>1799</v>
      </c>
      <c r="N2509" t="s">
        <v>1799</v>
      </c>
      <c r="O2509" s="184" t="str">
        <f>"["&amp;$C2509&amp;"]["&amp;$D2509&amp;"]["&amp;$F2509&amp;"]"</f>
        <v>[Article10cApplied][0][Article10cApplied]</v>
      </c>
    </row>
    <row r="2510" spans="1:15" x14ac:dyDescent="0.3">
      <c r="A2510" t="s">
        <v>1793</v>
      </c>
      <c r="B2510" t="s">
        <v>2410</v>
      </c>
      <c r="C2510" t="s">
        <v>2411</v>
      </c>
      <c r="D2510">
        <v>0</v>
      </c>
      <c r="E2510" t="s">
        <v>1447</v>
      </c>
      <c r="F2510" t="s">
        <v>2411</v>
      </c>
      <c r="G2510" t="s">
        <v>1826</v>
      </c>
      <c r="H2510" t="s">
        <v>1799</v>
      </c>
      <c r="I2510" t="s">
        <v>1799</v>
      </c>
      <c r="J2510" t="s">
        <v>1799</v>
      </c>
      <c r="K2510" t="s">
        <v>1799</v>
      </c>
      <c r="L2510" t="s">
        <v>1419</v>
      </c>
      <c r="M2510" t="s">
        <v>1799</v>
      </c>
      <c r="N2510" t="s">
        <v>1799</v>
      </c>
      <c r="O2510" s="184" t="str">
        <f>"["&amp;$C2510&amp;"]["&amp;$D2510&amp;"]["&amp;$F2510&amp;"]"</f>
        <v>[AdditionalParametersRequired][0][AdditionalParametersRequired]</v>
      </c>
    </row>
    <row r="2511" spans="1:15" x14ac:dyDescent="0.3">
      <c r="A2511" t="s">
        <v>1793</v>
      </c>
      <c r="B2511" t="s">
        <v>2410</v>
      </c>
      <c r="C2511" t="s">
        <v>2412</v>
      </c>
      <c r="D2511">
        <v>0</v>
      </c>
      <c r="E2511" t="s">
        <v>1447</v>
      </c>
      <c r="F2511" t="s">
        <v>2412</v>
      </c>
      <c r="G2511" t="s">
        <v>1797</v>
      </c>
      <c r="H2511" t="s">
        <v>2413</v>
      </c>
      <c r="I2511" t="s">
        <v>1799</v>
      </c>
      <c r="J2511" t="s">
        <v>1799</v>
      </c>
      <c r="K2511" t="s">
        <v>1799</v>
      </c>
      <c r="L2511" t="s">
        <v>1799</v>
      </c>
      <c r="M2511" t="s">
        <v>1799</v>
      </c>
      <c r="N2511" t="s">
        <v>1799</v>
      </c>
      <c r="O2511" s="184" t="str">
        <f>"["&amp;$C2511&amp;"]["&amp;$D2511&amp;"]["&amp;$F2511&amp;"]"</f>
        <v>[AdditionalParametersType][0][AdditionalParametersType]</v>
      </c>
    </row>
    <row r="2512" spans="1:15" x14ac:dyDescent="0.3">
      <c r="A2512" t="s">
        <v>1793</v>
      </c>
      <c r="B2512" t="s">
        <v>2414</v>
      </c>
      <c r="C2512" t="s">
        <v>2415</v>
      </c>
      <c r="D2512">
        <v>0</v>
      </c>
      <c r="E2512" t="s">
        <v>1447</v>
      </c>
      <c r="F2512" t="s">
        <v>2415</v>
      </c>
      <c r="G2512" t="s">
        <v>1826</v>
      </c>
      <c r="H2512" t="s">
        <v>1799</v>
      </c>
      <c r="I2512" t="s">
        <v>1799</v>
      </c>
      <c r="J2512" t="s">
        <v>1799</v>
      </c>
      <c r="K2512" t="s">
        <v>1799</v>
      </c>
      <c r="L2512" t="s">
        <v>1447</v>
      </c>
      <c r="M2512" t="s">
        <v>1799</v>
      </c>
      <c r="N2512" t="s">
        <v>1799</v>
      </c>
      <c r="O2512" s="184" t="str">
        <f>"["&amp;$C2512&amp;"]["&amp;$D2512&amp;"]["&amp;$F2512&amp;"]"</f>
        <v>[PreliminaryActivityRequired][0][PreliminaryActivityRequired]</v>
      </c>
    </row>
    <row r="2513" spans="1:15" x14ac:dyDescent="0.3">
      <c r="A2513" t="s">
        <v>1793</v>
      </c>
      <c r="B2513" t="s">
        <v>2416</v>
      </c>
      <c r="C2513" t="s">
        <v>2417</v>
      </c>
      <c r="D2513">
        <v>0</v>
      </c>
      <c r="E2513" t="s">
        <v>1447</v>
      </c>
      <c r="F2513" t="s">
        <v>2417</v>
      </c>
      <c r="G2513" t="s">
        <v>1826</v>
      </c>
      <c r="H2513" t="s">
        <v>1799</v>
      </c>
      <c r="I2513" t="s">
        <v>1799</v>
      </c>
      <c r="J2513" t="s">
        <v>1799</v>
      </c>
      <c r="K2513" t="s">
        <v>1799</v>
      </c>
      <c r="L2513" t="s">
        <v>1447</v>
      </c>
      <c r="M2513" t="s">
        <v>1799</v>
      </c>
      <c r="N2513" t="s">
        <v>1799</v>
      </c>
      <c r="O2513" s="184" t="str">
        <f>"["&amp;$C2513&amp;"]["&amp;$D2513&amp;"]["&amp;$F2513&amp;"]"</f>
        <v>[ActivityReportRejected][0][ActivityReportRejected]</v>
      </c>
    </row>
    <row r="2514" spans="1:15" x14ac:dyDescent="0.3">
      <c r="A2514" t="s">
        <v>1793</v>
      </c>
      <c r="B2514" t="s">
        <v>2418</v>
      </c>
      <c r="C2514" t="s">
        <v>2419</v>
      </c>
      <c r="D2514">
        <v>1</v>
      </c>
      <c r="E2514" t="s">
        <v>1447</v>
      </c>
      <c r="F2514" t="s">
        <v>2383</v>
      </c>
      <c r="G2514" t="s">
        <v>1737</v>
      </c>
      <c r="H2514" t="s">
        <v>1799</v>
      </c>
      <c r="I2514" t="s">
        <v>1799</v>
      </c>
      <c r="J2514" t="s">
        <v>1799</v>
      </c>
      <c r="K2514" t="s">
        <v>1799</v>
      </c>
      <c r="L2514" t="s">
        <v>1473</v>
      </c>
      <c r="M2514" t="s">
        <v>1799</v>
      </c>
      <c r="N2514" t="s">
        <v>1799</v>
      </c>
      <c r="O2514" s="184" t="str">
        <f>"["&amp;$C2514&amp;"]["&amp;$D2514&amp;"]["&amp;$F2514&amp;"]"</f>
        <v>[S08_VirtualVisitsActivityLevelDetail][1][AuthorityApproval]</v>
      </c>
    </row>
    <row r="2515" spans="1:15" x14ac:dyDescent="0.3">
      <c r="A2515" t="s">
        <v>1793</v>
      </c>
      <c r="B2515" t="s">
        <v>2418</v>
      </c>
      <c r="C2515" t="s">
        <v>2419</v>
      </c>
      <c r="D2515">
        <v>1</v>
      </c>
      <c r="E2515" t="s">
        <v>1447</v>
      </c>
      <c r="F2515" t="s">
        <v>2384</v>
      </c>
      <c r="G2515" t="s">
        <v>1797</v>
      </c>
      <c r="H2515" t="s">
        <v>2385</v>
      </c>
      <c r="I2515" t="s">
        <v>1799</v>
      </c>
      <c r="J2515" t="s">
        <v>1799</v>
      </c>
      <c r="K2515" t="s">
        <v>1799</v>
      </c>
      <c r="L2515" t="s">
        <v>1799</v>
      </c>
      <c r="M2515" t="s">
        <v>1799</v>
      </c>
      <c r="N2515" t="s">
        <v>1799</v>
      </c>
      <c r="O2515" s="184" t="str">
        <f>"["&amp;$C2515&amp;"]["&amp;$D2515&amp;"]["&amp;$F2515&amp;"]"</f>
        <v>[S08_VirtualVisitsActivityLevelDetail][1][ConfirmationConditionsMet]</v>
      </c>
    </row>
    <row r="2516" spans="1:15" x14ac:dyDescent="0.3">
      <c r="A2516" t="s">
        <v>1793</v>
      </c>
      <c r="B2516" t="s">
        <v>2420</v>
      </c>
      <c r="C2516" t="s">
        <v>2421</v>
      </c>
      <c r="D2516">
        <v>0</v>
      </c>
      <c r="E2516" t="s">
        <v>1447</v>
      </c>
      <c r="F2516" t="s">
        <v>2421</v>
      </c>
      <c r="G2516" t="s">
        <v>1826</v>
      </c>
      <c r="H2516" t="s">
        <v>1799</v>
      </c>
      <c r="I2516" t="s">
        <v>1799</v>
      </c>
      <c r="J2516" t="s">
        <v>1799</v>
      </c>
      <c r="K2516" t="s">
        <v>1799</v>
      </c>
      <c r="L2516" t="s">
        <v>1447</v>
      </c>
      <c r="M2516" t="s">
        <v>1799</v>
      </c>
      <c r="N2516" t="s">
        <v>1799</v>
      </c>
      <c r="O2516" s="184" t="str">
        <f>"["&amp;$C2516&amp;"]["&amp;$D2516&amp;"]["&amp;$F2516&amp;"]"</f>
        <v>[InstallationOperatorFees][0][InstallationOperatorFees]</v>
      </c>
    </row>
    <row r="2517" spans="1:15" x14ac:dyDescent="0.3">
      <c r="A2517" t="s">
        <v>1793</v>
      </c>
      <c r="B2517" t="s">
        <v>2422</v>
      </c>
      <c r="C2517" t="s">
        <v>2423</v>
      </c>
      <c r="D2517">
        <v>0</v>
      </c>
      <c r="E2517" t="s">
        <v>1447</v>
      </c>
      <c r="F2517" t="s">
        <v>2423</v>
      </c>
      <c r="G2517" t="s">
        <v>1826</v>
      </c>
      <c r="H2517" t="s">
        <v>1799</v>
      </c>
      <c r="I2517" t="s">
        <v>1799</v>
      </c>
      <c r="J2517" t="s">
        <v>1799</v>
      </c>
      <c r="K2517" t="s">
        <v>1799</v>
      </c>
      <c r="L2517" t="s">
        <v>1447</v>
      </c>
      <c r="M2517" t="s">
        <v>1799</v>
      </c>
      <c r="N2517" t="s">
        <v>1799</v>
      </c>
      <c r="O2517" s="184" t="str">
        <f>"["&amp;$C2517&amp;"]["&amp;$D2517&amp;"]["&amp;$F2517&amp;"]"</f>
        <v>[AircraftOperatorFees][0][AircraftOperatorFees]</v>
      </c>
    </row>
    <row r="2518" spans="1:15" x14ac:dyDescent="0.3">
      <c r="A2518" t="s">
        <v>1793</v>
      </c>
      <c r="B2518" t="s">
        <v>2424</v>
      </c>
      <c r="C2518" t="s">
        <v>2425</v>
      </c>
      <c r="D2518">
        <v>1</v>
      </c>
      <c r="E2518" t="s">
        <v>1447</v>
      </c>
      <c r="F2518" t="s">
        <v>2426</v>
      </c>
      <c r="G2518" t="s">
        <v>1826</v>
      </c>
      <c r="H2518" t="s">
        <v>1799</v>
      </c>
      <c r="I2518" t="s">
        <v>1799</v>
      </c>
      <c r="J2518" t="s">
        <v>1799</v>
      </c>
      <c r="K2518" t="s">
        <v>1799</v>
      </c>
      <c r="L2518" t="s">
        <v>1447</v>
      </c>
      <c r="M2518" t="s">
        <v>1799</v>
      </c>
      <c r="N2518" t="s">
        <v>1799</v>
      </c>
      <c r="O2518" s="184" t="str">
        <f>"["&amp;$C2518&amp;"]["&amp;$D2518&amp;"]["&amp;$F2518&amp;"]"</f>
        <v>[S10_InstallationsComplianceMeasures][1][ComplianceMeasuresYesNo]</v>
      </c>
    </row>
    <row r="2519" spans="1:15" x14ac:dyDescent="0.3">
      <c r="A2519" t="s">
        <v>1793</v>
      </c>
      <c r="B2519" t="s">
        <v>2424</v>
      </c>
      <c r="C2519" t="s">
        <v>2425</v>
      </c>
      <c r="D2519">
        <v>2</v>
      </c>
      <c r="E2519" t="s">
        <v>1447</v>
      </c>
      <c r="F2519" t="s">
        <v>2426</v>
      </c>
      <c r="G2519" t="s">
        <v>1826</v>
      </c>
      <c r="H2519" t="s">
        <v>1799</v>
      </c>
      <c r="I2519" t="s">
        <v>1799</v>
      </c>
      <c r="J2519" t="s">
        <v>1799</v>
      </c>
      <c r="K2519" t="s">
        <v>1799</v>
      </c>
      <c r="L2519" t="s">
        <v>1419</v>
      </c>
      <c r="M2519" t="s">
        <v>1799</v>
      </c>
      <c r="N2519" t="s">
        <v>1799</v>
      </c>
      <c r="O2519" s="184" t="str">
        <f>"["&amp;$C2519&amp;"]["&amp;$D2519&amp;"]["&amp;$F2519&amp;"]"</f>
        <v>[S10_InstallationsComplianceMeasures][2][ComplianceMeasuresYesNo]</v>
      </c>
    </row>
    <row r="2520" spans="1:15" x14ac:dyDescent="0.3">
      <c r="A2520" t="s">
        <v>1793</v>
      </c>
      <c r="B2520" t="s">
        <v>2424</v>
      </c>
      <c r="C2520" t="s">
        <v>2425</v>
      </c>
      <c r="D2520">
        <v>3</v>
      </c>
      <c r="E2520" t="s">
        <v>1447</v>
      </c>
      <c r="F2520" t="s">
        <v>2426</v>
      </c>
      <c r="G2520" t="s">
        <v>1826</v>
      </c>
      <c r="H2520" t="s">
        <v>1799</v>
      </c>
      <c r="I2520" t="s">
        <v>1799</v>
      </c>
      <c r="J2520" t="s">
        <v>1799</v>
      </c>
      <c r="K2520" t="s">
        <v>1799</v>
      </c>
      <c r="L2520" t="s">
        <v>1419</v>
      </c>
      <c r="M2520" t="s">
        <v>1799</v>
      </c>
      <c r="N2520" t="s">
        <v>1799</v>
      </c>
      <c r="O2520" s="184" t="str">
        <f>"["&amp;$C2520&amp;"]["&amp;$D2520&amp;"]["&amp;$F2520&amp;"]"</f>
        <v>[S10_InstallationsComplianceMeasures][3][ComplianceMeasuresYesNo]</v>
      </c>
    </row>
    <row r="2521" spans="1:15" x14ac:dyDescent="0.3">
      <c r="A2521" t="s">
        <v>1793</v>
      </c>
      <c r="B2521" t="s">
        <v>2424</v>
      </c>
      <c r="C2521" t="s">
        <v>2425</v>
      </c>
      <c r="D2521">
        <v>4</v>
      </c>
      <c r="E2521" t="s">
        <v>1447</v>
      </c>
      <c r="F2521" t="s">
        <v>2426</v>
      </c>
      <c r="G2521" t="s">
        <v>1826</v>
      </c>
      <c r="H2521" t="s">
        <v>1799</v>
      </c>
      <c r="I2521" t="s">
        <v>1799</v>
      </c>
      <c r="J2521" t="s">
        <v>1799</v>
      </c>
      <c r="K2521" t="s">
        <v>1799</v>
      </c>
      <c r="L2521" t="s">
        <v>1447</v>
      </c>
      <c r="M2521" t="s">
        <v>1799</v>
      </c>
      <c r="N2521" t="s">
        <v>1799</v>
      </c>
      <c r="O2521" s="184" t="str">
        <f>"["&amp;$C2521&amp;"]["&amp;$D2521&amp;"]["&amp;$F2521&amp;"]"</f>
        <v>[S10_InstallationsComplianceMeasures][4][ComplianceMeasuresYesNo]</v>
      </c>
    </row>
    <row r="2522" spans="1:15" x14ac:dyDescent="0.3">
      <c r="A2522" t="s">
        <v>1793</v>
      </c>
      <c r="B2522" t="s">
        <v>2424</v>
      </c>
      <c r="C2522" t="s">
        <v>2425</v>
      </c>
      <c r="D2522">
        <v>3</v>
      </c>
      <c r="E2522" t="s">
        <v>1447</v>
      </c>
      <c r="F2522" t="s">
        <v>2427</v>
      </c>
      <c r="G2522" t="s">
        <v>1869</v>
      </c>
      <c r="H2522" t="s">
        <v>1799</v>
      </c>
      <c r="I2522" t="s">
        <v>1799</v>
      </c>
      <c r="J2522" t="s">
        <v>1799</v>
      </c>
      <c r="K2522" t="s">
        <v>2428</v>
      </c>
      <c r="L2522" t="s">
        <v>1799</v>
      </c>
      <c r="M2522" t="s">
        <v>1799</v>
      </c>
      <c r="N2522" t="s">
        <v>1799</v>
      </c>
      <c r="O2522" s="184" t="str">
        <f>"["&amp;$C2522&amp;"]["&amp;$D2522&amp;"]["&amp;$F2522&amp;"]"</f>
        <v>[S10_InstallationsComplianceMeasures][3][ComplianceMeasuresComment]</v>
      </c>
    </row>
    <row r="2523" spans="1:15" x14ac:dyDescent="0.3">
      <c r="A2523" t="s">
        <v>1793</v>
      </c>
      <c r="B2523" t="s">
        <v>2429</v>
      </c>
      <c r="C2523" t="s">
        <v>2430</v>
      </c>
      <c r="D2523">
        <v>3</v>
      </c>
      <c r="E2523" t="s">
        <v>1447</v>
      </c>
      <c r="F2523" t="s">
        <v>2431</v>
      </c>
      <c r="G2523" t="s">
        <v>1892</v>
      </c>
      <c r="H2523" t="s">
        <v>1799</v>
      </c>
      <c r="I2523" t="s">
        <v>1799</v>
      </c>
      <c r="J2523">
        <v>50000</v>
      </c>
      <c r="K2523" t="s">
        <v>1799</v>
      </c>
      <c r="L2523" t="s">
        <v>1799</v>
      </c>
      <c r="M2523" t="s">
        <v>1799</v>
      </c>
      <c r="N2523" t="s">
        <v>1799</v>
      </c>
      <c r="O2523" s="184" t="str">
        <f>"["&amp;$C2523&amp;"]["&amp;$D2523&amp;"]["&amp;$F2523&amp;"]"</f>
        <v>[S10_InstallationsInfringementPenalties][3][MaxFine]</v>
      </c>
    </row>
    <row r="2524" spans="1:15" x14ac:dyDescent="0.3">
      <c r="A2524" t="s">
        <v>1793</v>
      </c>
      <c r="B2524" t="s">
        <v>2429</v>
      </c>
      <c r="C2524" t="s">
        <v>2430</v>
      </c>
      <c r="D2524">
        <v>4</v>
      </c>
      <c r="E2524" t="s">
        <v>1447</v>
      </c>
      <c r="F2524" t="s">
        <v>2431</v>
      </c>
      <c r="G2524" t="s">
        <v>1892</v>
      </c>
      <c r="H2524" t="s">
        <v>1799</v>
      </c>
      <c r="I2524" t="s">
        <v>1799</v>
      </c>
      <c r="J2524">
        <v>50000</v>
      </c>
      <c r="K2524" t="s">
        <v>1799</v>
      </c>
      <c r="L2524" t="s">
        <v>1799</v>
      </c>
      <c r="M2524" t="s">
        <v>1799</v>
      </c>
      <c r="N2524" t="s">
        <v>1799</v>
      </c>
      <c r="O2524" s="184" t="str">
        <f>"["&amp;$C2524&amp;"]["&amp;$D2524&amp;"]["&amp;$F2524&amp;"]"</f>
        <v>[S10_InstallationsInfringementPenalties][4][MaxFine]</v>
      </c>
    </row>
    <row r="2525" spans="1:15" x14ac:dyDescent="0.3">
      <c r="A2525" t="s">
        <v>1793</v>
      </c>
      <c r="B2525" t="s">
        <v>2429</v>
      </c>
      <c r="C2525" t="s">
        <v>2430</v>
      </c>
      <c r="D2525">
        <v>5</v>
      </c>
      <c r="E2525" t="s">
        <v>1447</v>
      </c>
      <c r="F2525" t="s">
        <v>2431</v>
      </c>
      <c r="G2525" t="s">
        <v>1892</v>
      </c>
      <c r="H2525" t="s">
        <v>1799</v>
      </c>
      <c r="I2525" t="s">
        <v>1799</v>
      </c>
      <c r="J2525">
        <v>50000</v>
      </c>
      <c r="K2525" t="s">
        <v>1799</v>
      </c>
      <c r="L2525" t="s">
        <v>1799</v>
      </c>
      <c r="M2525" t="s">
        <v>1799</v>
      </c>
      <c r="N2525" t="s">
        <v>1799</v>
      </c>
      <c r="O2525" s="184" t="str">
        <f>"["&amp;$C2525&amp;"]["&amp;$D2525&amp;"]["&amp;$F2525&amp;"]"</f>
        <v>[S10_InstallationsInfringementPenalties][5][MaxFine]</v>
      </c>
    </row>
    <row r="2526" spans="1:15" x14ac:dyDescent="0.3">
      <c r="A2526" t="s">
        <v>1793</v>
      </c>
      <c r="B2526" t="s">
        <v>2429</v>
      </c>
      <c r="C2526" t="s">
        <v>2430</v>
      </c>
      <c r="D2526">
        <v>6</v>
      </c>
      <c r="E2526" t="s">
        <v>1447</v>
      </c>
      <c r="F2526" t="s">
        <v>2431</v>
      </c>
      <c r="G2526" t="s">
        <v>1892</v>
      </c>
      <c r="H2526" t="s">
        <v>1799</v>
      </c>
      <c r="I2526" t="s">
        <v>1799</v>
      </c>
      <c r="J2526">
        <v>500000</v>
      </c>
      <c r="K2526" t="s">
        <v>1799</v>
      </c>
      <c r="L2526" t="s">
        <v>1799</v>
      </c>
      <c r="M2526" t="s">
        <v>1799</v>
      </c>
      <c r="N2526" t="s">
        <v>1799</v>
      </c>
      <c r="O2526" s="184" t="str">
        <f>"["&amp;$C2526&amp;"]["&amp;$D2526&amp;"]["&amp;$F2526&amp;"]"</f>
        <v>[S10_InstallationsInfringementPenalties][6][MaxFine]</v>
      </c>
    </row>
    <row r="2527" spans="1:15" x14ac:dyDescent="0.3">
      <c r="A2527" t="s">
        <v>1793</v>
      </c>
      <c r="B2527" t="s">
        <v>2429</v>
      </c>
      <c r="C2527" t="s">
        <v>2430</v>
      </c>
      <c r="D2527">
        <v>7</v>
      </c>
      <c r="E2527" t="s">
        <v>1447</v>
      </c>
      <c r="F2527" t="s">
        <v>2431</v>
      </c>
      <c r="G2527" t="s">
        <v>1892</v>
      </c>
      <c r="H2527" t="s">
        <v>1799</v>
      </c>
      <c r="I2527" t="s">
        <v>1799</v>
      </c>
      <c r="J2527">
        <v>50000</v>
      </c>
      <c r="K2527" t="s">
        <v>1799</v>
      </c>
      <c r="L2527" t="s">
        <v>1799</v>
      </c>
      <c r="M2527" t="s">
        <v>1799</v>
      </c>
      <c r="N2527" t="s">
        <v>1799</v>
      </c>
      <c r="O2527" s="184" t="str">
        <f>"["&amp;$C2527&amp;"]["&amp;$D2527&amp;"]["&amp;$F2527&amp;"]"</f>
        <v>[S10_InstallationsInfringementPenalties][7][MaxFine]</v>
      </c>
    </row>
    <row r="2528" spans="1:15" x14ac:dyDescent="0.3">
      <c r="A2528" t="s">
        <v>1793</v>
      </c>
      <c r="B2528" t="s">
        <v>2429</v>
      </c>
      <c r="C2528" t="s">
        <v>2430</v>
      </c>
      <c r="D2528">
        <v>8</v>
      </c>
      <c r="E2528" t="s">
        <v>1447</v>
      </c>
      <c r="F2528" t="s">
        <v>2431</v>
      </c>
      <c r="G2528" t="s">
        <v>1892</v>
      </c>
      <c r="H2528" t="s">
        <v>1799</v>
      </c>
      <c r="I2528" t="s">
        <v>1799</v>
      </c>
      <c r="J2528">
        <v>500000</v>
      </c>
      <c r="K2528" t="s">
        <v>1799</v>
      </c>
      <c r="L2528" t="s">
        <v>1799</v>
      </c>
      <c r="M2528" t="s">
        <v>1799</v>
      </c>
      <c r="N2528" t="s">
        <v>1799</v>
      </c>
      <c r="O2528" s="184" t="str">
        <f>"["&amp;$C2528&amp;"]["&amp;$D2528&amp;"]["&amp;$F2528&amp;"]"</f>
        <v>[S10_InstallationsInfringementPenalties][8][MaxFine]</v>
      </c>
    </row>
    <row r="2529" spans="1:15" x14ac:dyDescent="0.3">
      <c r="A2529" t="s">
        <v>1793</v>
      </c>
      <c r="B2529" t="s">
        <v>2429</v>
      </c>
      <c r="C2529" t="s">
        <v>2430</v>
      </c>
      <c r="D2529">
        <v>11</v>
      </c>
      <c r="E2529" t="s">
        <v>1447</v>
      </c>
      <c r="F2529" t="s">
        <v>2431</v>
      </c>
      <c r="G2529" t="s">
        <v>1892</v>
      </c>
      <c r="H2529" t="s">
        <v>1799</v>
      </c>
      <c r="I2529" t="s">
        <v>1799</v>
      </c>
      <c r="J2529">
        <v>500000</v>
      </c>
      <c r="K2529" t="s">
        <v>1799</v>
      </c>
      <c r="L2529" t="s">
        <v>1799</v>
      </c>
      <c r="M2529" t="s">
        <v>1799</v>
      </c>
      <c r="N2529" t="s">
        <v>1799</v>
      </c>
      <c r="O2529" s="184" t="str">
        <f>"["&amp;$C2529&amp;"]["&amp;$D2529&amp;"]["&amp;$F2529&amp;"]"</f>
        <v>[S10_InstallationsInfringementPenalties][11][MaxFine]</v>
      </c>
    </row>
    <row r="2530" spans="1:15" x14ac:dyDescent="0.3">
      <c r="A2530" t="s">
        <v>1793</v>
      </c>
      <c r="B2530" t="s">
        <v>2432</v>
      </c>
      <c r="C2530" t="s">
        <v>2433</v>
      </c>
      <c r="D2530">
        <v>1</v>
      </c>
      <c r="E2530" t="s">
        <v>1447</v>
      </c>
      <c r="F2530" t="s">
        <v>2434</v>
      </c>
      <c r="G2530" t="s">
        <v>1797</v>
      </c>
      <c r="H2530" t="s">
        <v>2435</v>
      </c>
      <c r="I2530" t="s">
        <v>1799</v>
      </c>
      <c r="J2530" t="s">
        <v>1799</v>
      </c>
      <c r="K2530" t="s">
        <v>1799</v>
      </c>
      <c r="L2530" t="s">
        <v>1799</v>
      </c>
      <c r="M2530" t="s">
        <v>1799</v>
      </c>
      <c r="N2530" t="s">
        <v>1799</v>
      </c>
      <c r="O2530" s="184" t="str">
        <f>"["&amp;$C2530&amp;"]["&amp;$D2530&amp;"]["&amp;$F2530&amp;"]"</f>
        <v>[S10_InstallationPenalties][1][OperatorName]</v>
      </c>
    </row>
    <row r="2531" spans="1:15" x14ac:dyDescent="0.3">
      <c r="A2531" t="s">
        <v>1793</v>
      </c>
      <c r="B2531" t="s">
        <v>2436</v>
      </c>
      <c r="C2531" t="s">
        <v>2437</v>
      </c>
      <c r="D2531">
        <v>1</v>
      </c>
      <c r="E2531" t="s">
        <v>1447</v>
      </c>
      <c r="F2531" t="s">
        <v>2426</v>
      </c>
      <c r="G2531" t="s">
        <v>1826</v>
      </c>
      <c r="H2531" t="s">
        <v>1799</v>
      </c>
      <c r="I2531" t="s">
        <v>1799</v>
      </c>
      <c r="J2531" t="s">
        <v>1799</v>
      </c>
      <c r="K2531" t="s">
        <v>1799</v>
      </c>
      <c r="L2531" t="s">
        <v>1447</v>
      </c>
      <c r="M2531" t="s">
        <v>1799</v>
      </c>
      <c r="N2531" t="s">
        <v>1799</v>
      </c>
      <c r="O2531" s="184" t="str">
        <f>"["&amp;$C2531&amp;"]["&amp;$D2531&amp;"]["&amp;$F2531&amp;"]"</f>
        <v>[S10_AircraftComplianceMeasures][1][ComplianceMeasuresYesNo]</v>
      </c>
    </row>
    <row r="2532" spans="1:15" x14ac:dyDescent="0.3">
      <c r="A2532" t="s">
        <v>1793</v>
      </c>
      <c r="B2532" t="s">
        <v>2436</v>
      </c>
      <c r="C2532" t="s">
        <v>2437</v>
      </c>
      <c r="D2532">
        <v>2</v>
      </c>
      <c r="E2532" t="s">
        <v>1447</v>
      </c>
      <c r="F2532" t="s">
        <v>2426</v>
      </c>
      <c r="G2532" t="s">
        <v>1826</v>
      </c>
      <c r="H2532" t="s">
        <v>1799</v>
      </c>
      <c r="I2532" t="s">
        <v>1799</v>
      </c>
      <c r="J2532" t="s">
        <v>1799</v>
      </c>
      <c r="K2532" t="s">
        <v>1799</v>
      </c>
      <c r="L2532" t="s">
        <v>1419</v>
      </c>
      <c r="M2532" t="s">
        <v>1799</v>
      </c>
      <c r="N2532" t="s">
        <v>1799</v>
      </c>
      <c r="O2532" s="184" t="str">
        <f>"["&amp;$C2532&amp;"]["&amp;$D2532&amp;"]["&amp;$F2532&amp;"]"</f>
        <v>[S10_AircraftComplianceMeasures][2][ComplianceMeasuresYesNo]</v>
      </c>
    </row>
    <row r="2533" spans="1:15" x14ac:dyDescent="0.3">
      <c r="A2533" t="s">
        <v>1793</v>
      </c>
      <c r="B2533" t="s">
        <v>2436</v>
      </c>
      <c r="C2533" t="s">
        <v>2437</v>
      </c>
      <c r="D2533">
        <v>3</v>
      </c>
      <c r="E2533" t="s">
        <v>1447</v>
      </c>
      <c r="F2533" t="s">
        <v>2426</v>
      </c>
      <c r="G2533" t="s">
        <v>1826</v>
      </c>
      <c r="H2533" t="s">
        <v>1799</v>
      </c>
      <c r="I2533" t="s">
        <v>1799</v>
      </c>
      <c r="J2533" t="s">
        <v>1799</v>
      </c>
      <c r="K2533" t="s">
        <v>1799</v>
      </c>
      <c r="L2533" t="s">
        <v>1419</v>
      </c>
      <c r="M2533" t="s">
        <v>1799</v>
      </c>
      <c r="N2533" t="s">
        <v>1799</v>
      </c>
      <c r="O2533" s="184" t="str">
        <f>"["&amp;$C2533&amp;"]["&amp;$D2533&amp;"]["&amp;$F2533&amp;"]"</f>
        <v>[S10_AircraftComplianceMeasures][3][ComplianceMeasuresYesNo]</v>
      </c>
    </row>
    <row r="2534" spans="1:15" x14ac:dyDescent="0.3">
      <c r="A2534" t="s">
        <v>1793</v>
      </c>
      <c r="B2534" t="s">
        <v>2436</v>
      </c>
      <c r="C2534" t="s">
        <v>2437</v>
      </c>
      <c r="D2534">
        <v>4</v>
      </c>
      <c r="E2534" t="s">
        <v>1447</v>
      </c>
      <c r="F2534" t="s">
        <v>2426</v>
      </c>
      <c r="G2534" t="s">
        <v>1826</v>
      </c>
      <c r="H2534" t="s">
        <v>1799</v>
      </c>
      <c r="I2534" t="s">
        <v>1799</v>
      </c>
      <c r="J2534" t="s">
        <v>1799</v>
      </c>
      <c r="K2534" t="s">
        <v>1799</v>
      </c>
      <c r="L2534" t="s">
        <v>1447</v>
      </c>
      <c r="M2534" t="s">
        <v>1799</v>
      </c>
      <c r="N2534" t="s">
        <v>1799</v>
      </c>
      <c r="O2534" s="184" t="str">
        <f>"["&amp;$C2534&amp;"]["&amp;$D2534&amp;"]["&amp;$F2534&amp;"]"</f>
        <v>[S10_AircraftComplianceMeasures][4][ComplianceMeasuresYesNo]</v>
      </c>
    </row>
    <row r="2535" spans="1:15" x14ac:dyDescent="0.3">
      <c r="A2535" t="s">
        <v>1793</v>
      </c>
      <c r="B2535" t="s">
        <v>2436</v>
      </c>
      <c r="C2535" t="s">
        <v>2437</v>
      </c>
      <c r="D2535">
        <v>3</v>
      </c>
      <c r="E2535" t="s">
        <v>1447</v>
      </c>
      <c r="F2535" t="s">
        <v>2427</v>
      </c>
      <c r="G2535" t="s">
        <v>1869</v>
      </c>
      <c r="H2535" t="s">
        <v>1799</v>
      </c>
      <c r="I2535" t="s">
        <v>1799</v>
      </c>
      <c r="J2535" t="s">
        <v>1799</v>
      </c>
      <c r="K2535" t="s">
        <v>2428</v>
      </c>
      <c r="L2535" t="s">
        <v>1799</v>
      </c>
      <c r="M2535" t="s">
        <v>1799</v>
      </c>
      <c r="N2535" t="s">
        <v>1799</v>
      </c>
      <c r="O2535" s="184" t="str">
        <f>"["&amp;$C2535&amp;"]["&amp;$D2535&amp;"]["&amp;$F2535&amp;"]"</f>
        <v>[S10_AircraftComplianceMeasures][3][ComplianceMeasuresComment]</v>
      </c>
    </row>
    <row r="2536" spans="1:15" x14ac:dyDescent="0.3">
      <c r="A2536" t="s">
        <v>1793</v>
      </c>
      <c r="B2536" t="s">
        <v>2438</v>
      </c>
      <c r="C2536" t="s">
        <v>2439</v>
      </c>
      <c r="D2536">
        <v>1</v>
      </c>
      <c r="E2536" t="s">
        <v>1447</v>
      </c>
      <c r="F2536" t="s">
        <v>2431</v>
      </c>
      <c r="G2536" t="s">
        <v>1892</v>
      </c>
      <c r="H2536" t="s">
        <v>1799</v>
      </c>
      <c r="I2536" t="s">
        <v>1799</v>
      </c>
      <c r="J2536">
        <v>50000</v>
      </c>
      <c r="K2536" t="s">
        <v>1799</v>
      </c>
      <c r="L2536" t="s">
        <v>1799</v>
      </c>
      <c r="M2536" t="s">
        <v>1799</v>
      </c>
      <c r="N2536" t="s">
        <v>1799</v>
      </c>
      <c r="O2536" s="184" t="str">
        <f>"["&amp;$C2536&amp;"]["&amp;$D2536&amp;"]["&amp;$F2536&amp;"]"</f>
        <v>[S10_AircraftInfringementPenalties][1][MaxFine]</v>
      </c>
    </row>
    <row r="2537" spans="1:15" x14ac:dyDescent="0.3">
      <c r="A2537" t="s">
        <v>1793</v>
      </c>
      <c r="B2537" t="s">
        <v>2438</v>
      </c>
      <c r="C2537" t="s">
        <v>2439</v>
      </c>
      <c r="D2537">
        <v>2</v>
      </c>
      <c r="E2537" t="s">
        <v>1447</v>
      </c>
      <c r="F2537" t="s">
        <v>2431</v>
      </c>
      <c r="G2537" t="s">
        <v>1892</v>
      </c>
      <c r="H2537" t="s">
        <v>1799</v>
      </c>
      <c r="I2537" t="s">
        <v>1799</v>
      </c>
      <c r="J2537">
        <v>50000</v>
      </c>
      <c r="K2537" t="s">
        <v>1799</v>
      </c>
      <c r="L2537" t="s">
        <v>1799</v>
      </c>
      <c r="M2537" t="s">
        <v>1799</v>
      </c>
      <c r="N2537" t="s">
        <v>1799</v>
      </c>
      <c r="O2537" s="184" t="str">
        <f>"["&amp;$C2537&amp;"]["&amp;$D2537&amp;"]["&amp;$F2537&amp;"]"</f>
        <v>[S10_AircraftInfringementPenalties][2][MaxFine]</v>
      </c>
    </row>
    <row r="2538" spans="1:15" x14ac:dyDescent="0.3">
      <c r="A2538" t="s">
        <v>1793</v>
      </c>
      <c r="B2538" t="s">
        <v>2438</v>
      </c>
      <c r="C2538" t="s">
        <v>2439</v>
      </c>
      <c r="D2538">
        <v>3</v>
      </c>
      <c r="E2538" t="s">
        <v>1447</v>
      </c>
      <c r="F2538" t="s">
        <v>2431</v>
      </c>
      <c r="G2538" t="s">
        <v>1892</v>
      </c>
      <c r="H2538" t="s">
        <v>1799</v>
      </c>
      <c r="I2538" t="s">
        <v>1799</v>
      </c>
      <c r="J2538">
        <v>500000</v>
      </c>
      <c r="K2538" t="s">
        <v>1799</v>
      </c>
      <c r="L2538" t="s">
        <v>1799</v>
      </c>
      <c r="M2538" t="s">
        <v>1799</v>
      </c>
      <c r="N2538" t="s">
        <v>1799</v>
      </c>
      <c r="O2538" s="184" t="str">
        <f>"["&amp;$C2538&amp;"]["&amp;$D2538&amp;"]["&amp;$F2538&amp;"]"</f>
        <v>[S10_AircraftInfringementPenalties][3][MaxFine]</v>
      </c>
    </row>
    <row r="2539" spans="1:15" x14ac:dyDescent="0.3">
      <c r="A2539" t="s">
        <v>1793</v>
      </c>
      <c r="B2539" t="s">
        <v>2438</v>
      </c>
      <c r="C2539" t="s">
        <v>2439</v>
      </c>
      <c r="D2539">
        <v>4</v>
      </c>
      <c r="E2539" t="s">
        <v>1447</v>
      </c>
      <c r="F2539" t="s">
        <v>2431</v>
      </c>
      <c r="G2539" t="s">
        <v>1892</v>
      </c>
      <c r="H2539" t="s">
        <v>1799</v>
      </c>
      <c r="I2539" t="s">
        <v>1799</v>
      </c>
      <c r="J2539">
        <v>50000</v>
      </c>
      <c r="K2539" t="s">
        <v>1799</v>
      </c>
      <c r="L2539" t="s">
        <v>1799</v>
      </c>
      <c r="M2539" t="s">
        <v>1799</v>
      </c>
      <c r="N2539" t="s">
        <v>1799</v>
      </c>
      <c r="O2539" s="184" t="str">
        <f>"["&amp;$C2539&amp;"]["&amp;$D2539&amp;"]["&amp;$F2539&amp;"]"</f>
        <v>[S10_AircraftInfringementPenalties][4][MaxFine]</v>
      </c>
    </row>
    <row r="2540" spans="1:15" x14ac:dyDescent="0.3">
      <c r="A2540" t="s">
        <v>1793</v>
      </c>
      <c r="B2540" t="s">
        <v>2438</v>
      </c>
      <c r="C2540" t="s">
        <v>2439</v>
      </c>
      <c r="D2540">
        <v>5</v>
      </c>
      <c r="E2540" t="s">
        <v>1447</v>
      </c>
      <c r="F2540" t="s">
        <v>2431</v>
      </c>
      <c r="G2540" t="s">
        <v>1892</v>
      </c>
      <c r="H2540" t="s">
        <v>1799</v>
      </c>
      <c r="I2540" t="s">
        <v>1799</v>
      </c>
      <c r="J2540">
        <v>500000</v>
      </c>
      <c r="K2540" t="s">
        <v>1799</v>
      </c>
      <c r="L2540" t="s">
        <v>1799</v>
      </c>
      <c r="M2540" t="s">
        <v>1799</v>
      </c>
      <c r="N2540" t="s">
        <v>1799</v>
      </c>
      <c r="O2540" s="184" t="str">
        <f>"["&amp;$C2540&amp;"]["&amp;$D2540&amp;"]["&amp;$F2540&amp;"]"</f>
        <v>[S10_AircraftInfringementPenalties][5][MaxFine]</v>
      </c>
    </row>
    <row r="2541" spans="1:15" x14ac:dyDescent="0.3">
      <c r="A2541" t="s">
        <v>1793</v>
      </c>
      <c r="B2541" t="s">
        <v>2438</v>
      </c>
      <c r="C2541" t="s">
        <v>2439</v>
      </c>
      <c r="D2541">
        <v>6</v>
      </c>
      <c r="E2541" t="s">
        <v>1447</v>
      </c>
      <c r="F2541" t="s">
        <v>2431</v>
      </c>
      <c r="G2541" t="s">
        <v>1892</v>
      </c>
      <c r="H2541" t="s">
        <v>1799</v>
      </c>
      <c r="I2541" t="s">
        <v>1799</v>
      </c>
      <c r="J2541">
        <v>500000</v>
      </c>
      <c r="K2541" t="s">
        <v>1799</v>
      </c>
      <c r="L2541" t="s">
        <v>1799</v>
      </c>
      <c r="M2541" t="s">
        <v>1799</v>
      </c>
      <c r="N2541" t="s">
        <v>1799</v>
      </c>
      <c r="O2541" s="184" t="str">
        <f>"["&amp;$C2541&amp;"]["&amp;$D2541&amp;"]["&amp;$F2541&amp;"]"</f>
        <v>[S10_AircraftInfringementPenalties][6][MaxFine]</v>
      </c>
    </row>
    <row r="2542" spans="1:15" x14ac:dyDescent="0.3">
      <c r="A2542" t="s">
        <v>1793</v>
      </c>
      <c r="B2542" t="s">
        <v>2438</v>
      </c>
      <c r="C2542" t="s">
        <v>2439</v>
      </c>
      <c r="D2542">
        <v>9</v>
      </c>
      <c r="E2542" t="s">
        <v>1447</v>
      </c>
      <c r="F2542" t="s">
        <v>2431</v>
      </c>
      <c r="G2542" t="s">
        <v>1892</v>
      </c>
      <c r="H2542" t="s">
        <v>1799</v>
      </c>
      <c r="I2542" t="s">
        <v>1799</v>
      </c>
      <c r="J2542">
        <v>500000</v>
      </c>
      <c r="K2542" t="s">
        <v>1799</v>
      </c>
      <c r="L2542" t="s">
        <v>1799</v>
      </c>
      <c r="M2542" t="s">
        <v>1799</v>
      </c>
      <c r="N2542" t="s">
        <v>1799</v>
      </c>
      <c r="O2542" s="184" t="str">
        <f>"["&amp;$C2542&amp;"]["&amp;$D2542&amp;"]["&amp;$F2542&amp;"]"</f>
        <v>[S10_AircraftInfringementPenalties][9][MaxFine]</v>
      </c>
    </row>
    <row r="2543" spans="1:15" x14ac:dyDescent="0.3">
      <c r="A2543" t="s">
        <v>1793</v>
      </c>
      <c r="B2543" t="s">
        <v>2438</v>
      </c>
      <c r="C2543" t="s">
        <v>2439</v>
      </c>
      <c r="D2543">
        <v>10</v>
      </c>
      <c r="E2543" t="s">
        <v>1447</v>
      </c>
      <c r="F2543" t="s">
        <v>2431</v>
      </c>
      <c r="G2543" t="s">
        <v>1892</v>
      </c>
      <c r="H2543" t="s">
        <v>1799</v>
      </c>
      <c r="I2543" t="s">
        <v>1799</v>
      </c>
      <c r="J2543">
        <v>500000</v>
      </c>
      <c r="K2543" t="s">
        <v>1799</v>
      </c>
      <c r="L2543" t="s">
        <v>1799</v>
      </c>
      <c r="M2543" t="s">
        <v>1799</v>
      </c>
      <c r="N2543" t="s">
        <v>1799</v>
      </c>
      <c r="O2543" s="184" t="str">
        <f>"["&amp;$C2543&amp;"]["&amp;$D2543&amp;"]["&amp;$F2543&amp;"]"</f>
        <v>[S10_AircraftInfringementPenalties][10][MaxFine]</v>
      </c>
    </row>
    <row r="2544" spans="1:15" x14ac:dyDescent="0.3">
      <c r="A2544" t="s">
        <v>1793</v>
      </c>
      <c r="B2544" t="s">
        <v>2440</v>
      </c>
      <c r="C2544" t="s">
        <v>2441</v>
      </c>
      <c r="D2544">
        <v>0</v>
      </c>
      <c r="E2544" t="s">
        <v>1447</v>
      </c>
      <c r="F2544" t="s">
        <v>2441</v>
      </c>
      <c r="G2544" t="s">
        <v>1826</v>
      </c>
      <c r="H2544" t="s">
        <v>1799</v>
      </c>
      <c r="I2544" t="s">
        <v>1799</v>
      </c>
      <c r="J2544" t="s">
        <v>1799</v>
      </c>
      <c r="K2544" t="s">
        <v>1799</v>
      </c>
      <c r="L2544" t="s">
        <v>1447</v>
      </c>
      <c r="M2544" t="s">
        <v>1799</v>
      </c>
      <c r="N2544" t="s">
        <v>1799</v>
      </c>
      <c r="O2544" s="184" t="str">
        <f>"["&amp;$C2544&amp;"]["&amp;$D2544&amp;"]["&amp;$F2544&amp;"]"</f>
        <v>[AircraftPriorPenaltiesEnforced][0][AircraftPriorPenaltiesEnforced]</v>
      </c>
    </row>
    <row r="2545" spans="1:15" x14ac:dyDescent="0.3">
      <c r="A2545" t="s">
        <v>1793</v>
      </c>
      <c r="B2545" t="s">
        <v>2442</v>
      </c>
      <c r="C2545" t="s">
        <v>2443</v>
      </c>
      <c r="D2545">
        <v>1</v>
      </c>
      <c r="E2545" t="s">
        <v>1447</v>
      </c>
      <c r="F2545" t="s">
        <v>2434</v>
      </c>
      <c r="G2545" t="s">
        <v>1797</v>
      </c>
      <c r="H2545" t="s">
        <v>2444</v>
      </c>
      <c r="I2545" t="s">
        <v>1799</v>
      </c>
      <c r="J2545" t="s">
        <v>1799</v>
      </c>
      <c r="K2545" t="s">
        <v>1799</v>
      </c>
      <c r="L2545" t="s">
        <v>1799</v>
      </c>
      <c r="M2545" t="s">
        <v>1799</v>
      </c>
      <c r="N2545" t="s">
        <v>1799</v>
      </c>
      <c r="O2545" s="184" t="str">
        <f>"["&amp;$C2545&amp;"]["&amp;$D2545&amp;"]["&amp;$F2545&amp;"]"</f>
        <v>[S10_AircraftPenalties][1][OperatorName]</v>
      </c>
    </row>
    <row r="2546" spans="1:15" x14ac:dyDescent="0.3">
      <c r="A2546" t="s">
        <v>1793</v>
      </c>
      <c r="B2546" t="s">
        <v>2442</v>
      </c>
      <c r="C2546" t="s">
        <v>2443</v>
      </c>
      <c r="D2546">
        <v>2</v>
      </c>
      <c r="E2546" t="s">
        <v>1447</v>
      </c>
      <c r="F2546" t="s">
        <v>2434</v>
      </c>
      <c r="G2546" t="s">
        <v>1797</v>
      </c>
      <c r="H2546" t="s">
        <v>2445</v>
      </c>
      <c r="I2546" t="s">
        <v>1799</v>
      </c>
      <c r="J2546" t="s">
        <v>1799</v>
      </c>
      <c r="K2546" t="s">
        <v>1799</v>
      </c>
      <c r="L2546" t="s">
        <v>1799</v>
      </c>
      <c r="M2546" t="s">
        <v>1799</v>
      </c>
      <c r="N2546" t="s">
        <v>1799</v>
      </c>
      <c r="O2546" s="184" t="str">
        <f>"["&amp;$C2546&amp;"]["&amp;$D2546&amp;"]["&amp;$F2546&amp;"]"</f>
        <v>[S10_AircraftPenalties][2][OperatorName]</v>
      </c>
    </row>
    <row r="2547" spans="1:15" x14ac:dyDescent="0.3">
      <c r="A2547" t="s">
        <v>1793</v>
      </c>
      <c r="B2547" t="s">
        <v>2442</v>
      </c>
      <c r="C2547" t="s">
        <v>2443</v>
      </c>
      <c r="D2547">
        <v>3</v>
      </c>
      <c r="E2547" t="s">
        <v>1447</v>
      </c>
      <c r="F2547" t="s">
        <v>2434</v>
      </c>
      <c r="G2547" t="s">
        <v>1797</v>
      </c>
      <c r="H2547" t="s">
        <v>2446</v>
      </c>
      <c r="I2547" t="s">
        <v>1799</v>
      </c>
      <c r="J2547" t="s">
        <v>1799</v>
      </c>
      <c r="K2547" t="s">
        <v>1799</v>
      </c>
      <c r="L2547" t="s">
        <v>1799</v>
      </c>
      <c r="M2547" t="s">
        <v>1799</v>
      </c>
      <c r="N2547" t="s">
        <v>1799</v>
      </c>
      <c r="O2547" s="184" t="str">
        <f>"["&amp;$C2547&amp;"]["&amp;$D2547&amp;"]["&amp;$F2547&amp;"]"</f>
        <v>[S10_AircraftPenalties][3][OperatorName]</v>
      </c>
    </row>
    <row r="2548" spans="1:15" x14ac:dyDescent="0.3">
      <c r="A2548" t="s">
        <v>1793</v>
      </c>
      <c r="B2548" t="s">
        <v>2447</v>
      </c>
      <c r="C2548" t="s">
        <v>2448</v>
      </c>
      <c r="D2548">
        <v>0</v>
      </c>
      <c r="E2548" t="s">
        <v>1447</v>
      </c>
      <c r="F2548" t="s">
        <v>2448</v>
      </c>
      <c r="G2548" t="s">
        <v>1797</v>
      </c>
      <c r="H2548" t="s">
        <v>2449</v>
      </c>
      <c r="I2548" t="s">
        <v>1799</v>
      </c>
      <c r="J2548" t="s">
        <v>1799</v>
      </c>
      <c r="K2548" t="s">
        <v>1799</v>
      </c>
      <c r="L2548" t="s">
        <v>1799</v>
      </c>
      <c r="M2548" t="s">
        <v>1799</v>
      </c>
      <c r="N2548" t="s">
        <v>1799</v>
      </c>
      <c r="O2548" s="184" t="str">
        <f>"["&amp;$C2548&amp;"]["&amp;$D2548&amp;"]["&amp;$F2548&amp;"]"</f>
        <v>[LegalNatureOfEmissionAllowance][0][LegalNatureOfEmissionAllowance]</v>
      </c>
    </row>
    <row r="2549" spans="1:15" x14ac:dyDescent="0.3">
      <c r="A2549" t="s">
        <v>1793</v>
      </c>
      <c r="B2549" t="s">
        <v>2450</v>
      </c>
      <c r="C2549" t="s">
        <v>2451</v>
      </c>
      <c r="D2549">
        <v>0</v>
      </c>
      <c r="E2549" t="s">
        <v>1447</v>
      </c>
      <c r="F2549" t="s">
        <v>2451</v>
      </c>
      <c r="G2549" t="s">
        <v>1797</v>
      </c>
      <c r="H2549" t="s">
        <v>2452</v>
      </c>
      <c r="I2549" t="s">
        <v>1799</v>
      </c>
      <c r="J2549" t="s">
        <v>1799</v>
      </c>
      <c r="K2549" t="s">
        <v>1799</v>
      </c>
      <c r="L2549" t="s">
        <v>1799</v>
      </c>
      <c r="M2549" t="s">
        <v>1799</v>
      </c>
      <c r="N2549" t="s">
        <v>1799</v>
      </c>
      <c r="O2549" s="184" t="str">
        <f>"["&amp;$C2549&amp;"]["&amp;$D2549&amp;"]["&amp;$F2549&amp;"]"</f>
        <v>[AccountingTreatmentOfEmissionAllowances][0][AccountingTreatmentOfEmissionAllowances]</v>
      </c>
    </row>
    <row r="2550" spans="1:15" x14ac:dyDescent="0.3">
      <c r="A2550" t="s">
        <v>1793</v>
      </c>
      <c r="B2550" t="s">
        <v>2453</v>
      </c>
      <c r="C2550" t="s">
        <v>2454</v>
      </c>
      <c r="D2550">
        <v>0</v>
      </c>
      <c r="E2550" t="s">
        <v>1447</v>
      </c>
      <c r="F2550" t="s">
        <v>2454</v>
      </c>
      <c r="G2550" t="s">
        <v>1826</v>
      </c>
      <c r="H2550" t="s">
        <v>1799</v>
      </c>
      <c r="I2550" t="s">
        <v>1799</v>
      </c>
      <c r="J2550" t="s">
        <v>1799</v>
      </c>
      <c r="K2550" t="s">
        <v>1799</v>
      </c>
      <c r="L2550" t="s">
        <v>1419</v>
      </c>
      <c r="M2550" t="s">
        <v>1799</v>
      </c>
      <c r="N2550" t="s">
        <v>1799</v>
      </c>
      <c r="O2550" s="184" t="str">
        <f>"["&amp;$C2550&amp;"]["&amp;$D2550&amp;"]["&amp;$F2550&amp;"]"</f>
        <v>[ReverseChargeMechanismEmissionAllowances][0][ReverseChargeMechanismEmissionAllowances]</v>
      </c>
    </row>
    <row r="2551" spans="1:15" x14ac:dyDescent="0.3">
      <c r="A2551" t="s">
        <v>1793</v>
      </c>
      <c r="B2551" t="s">
        <v>2455</v>
      </c>
      <c r="C2551" t="s">
        <v>2456</v>
      </c>
      <c r="D2551">
        <v>0</v>
      </c>
      <c r="E2551" t="s">
        <v>1447</v>
      </c>
      <c r="F2551" t="s">
        <v>2456</v>
      </c>
      <c r="G2551" t="s">
        <v>1826</v>
      </c>
      <c r="H2551" t="s">
        <v>1799</v>
      </c>
      <c r="I2551" t="s">
        <v>1799</v>
      </c>
      <c r="J2551" t="s">
        <v>1799</v>
      </c>
      <c r="K2551" t="s">
        <v>1799</v>
      </c>
      <c r="L2551" t="s">
        <v>1419</v>
      </c>
      <c r="M2551" t="s">
        <v>1799</v>
      </c>
      <c r="N2551" t="s">
        <v>1799</v>
      </c>
      <c r="O2551" s="184" t="str">
        <f>"["&amp;$C2551&amp;"]["&amp;$D2551&amp;"]["&amp;$F2551&amp;"]"</f>
        <v>[EmissionAllowancesTaxed][0][EmissionAllowancesTaxed]</v>
      </c>
    </row>
    <row r="2552" spans="1:15" x14ac:dyDescent="0.3">
      <c r="A2552" t="s">
        <v>1793</v>
      </c>
      <c r="B2552" t="s">
        <v>2455</v>
      </c>
      <c r="C2552" t="s">
        <v>2457</v>
      </c>
      <c r="D2552">
        <v>1</v>
      </c>
      <c r="E2552" t="s">
        <v>1447</v>
      </c>
      <c r="F2552" t="s">
        <v>2458</v>
      </c>
      <c r="G2552" t="s">
        <v>1797</v>
      </c>
      <c r="H2552" t="s">
        <v>2459</v>
      </c>
      <c r="I2552" t="s">
        <v>1799</v>
      </c>
      <c r="J2552" t="s">
        <v>1799</v>
      </c>
      <c r="K2552" t="s">
        <v>1799</v>
      </c>
      <c r="L2552" t="s">
        <v>1799</v>
      </c>
      <c r="M2552" t="s">
        <v>1799</v>
      </c>
      <c r="N2552" t="s">
        <v>1799</v>
      </c>
      <c r="O2552" s="184" t="str">
        <f>"["&amp;$C2552&amp;"]["&amp;$D2552&amp;"]["&amp;$F2552&amp;"]"</f>
        <v>[S11_TypeOfTaxRatesApplied][1][TypeOfTax]</v>
      </c>
    </row>
    <row r="2553" spans="1:15" x14ac:dyDescent="0.3">
      <c r="A2553" t="s">
        <v>1793</v>
      </c>
      <c r="B2553" t="s">
        <v>2455</v>
      </c>
      <c r="C2553" t="s">
        <v>2457</v>
      </c>
      <c r="D2553">
        <v>2</v>
      </c>
      <c r="E2553" t="s">
        <v>1447</v>
      </c>
      <c r="F2553" t="s">
        <v>2458</v>
      </c>
      <c r="G2553" t="s">
        <v>1797</v>
      </c>
      <c r="H2553" t="s">
        <v>2460</v>
      </c>
      <c r="I2553" t="s">
        <v>1799</v>
      </c>
      <c r="J2553" t="s">
        <v>1799</v>
      </c>
      <c r="K2553" t="s">
        <v>1799</v>
      </c>
      <c r="L2553" t="s">
        <v>1799</v>
      </c>
      <c r="M2553" t="s">
        <v>1799</v>
      </c>
      <c r="N2553" t="s">
        <v>1799</v>
      </c>
      <c r="O2553" s="184" t="str">
        <f>"["&amp;$C2553&amp;"]["&amp;$D2553&amp;"]["&amp;$F2553&amp;"]"</f>
        <v>[S11_TypeOfTaxRatesApplied][2][TypeOfTax]</v>
      </c>
    </row>
    <row r="2554" spans="1:15" x14ac:dyDescent="0.3">
      <c r="A2554" t="s">
        <v>1793</v>
      </c>
      <c r="B2554" t="s">
        <v>2455</v>
      </c>
      <c r="C2554" t="s">
        <v>2457</v>
      </c>
      <c r="D2554">
        <v>3</v>
      </c>
      <c r="E2554" t="s">
        <v>1447</v>
      </c>
      <c r="F2554" t="s">
        <v>2458</v>
      </c>
      <c r="G2554" t="s">
        <v>1797</v>
      </c>
      <c r="H2554" t="s">
        <v>2461</v>
      </c>
      <c r="I2554" t="s">
        <v>1799</v>
      </c>
      <c r="J2554" t="s">
        <v>1799</v>
      </c>
      <c r="K2554" t="s">
        <v>1799</v>
      </c>
      <c r="L2554" t="s">
        <v>1799</v>
      </c>
      <c r="M2554" t="s">
        <v>1799</v>
      </c>
      <c r="N2554" t="s">
        <v>1799</v>
      </c>
      <c r="O2554" s="184" t="str">
        <f>"["&amp;$C2554&amp;"]["&amp;$D2554&amp;"]["&amp;$F2554&amp;"]"</f>
        <v>[S11_TypeOfTaxRatesApplied][3][TypeOfTax]</v>
      </c>
    </row>
    <row r="2555" spans="1:15" x14ac:dyDescent="0.3">
      <c r="A2555" t="s">
        <v>1793</v>
      </c>
      <c r="B2555" t="s">
        <v>2455</v>
      </c>
      <c r="C2555" t="s">
        <v>2457</v>
      </c>
      <c r="D2555">
        <v>4</v>
      </c>
      <c r="E2555" t="s">
        <v>1447</v>
      </c>
      <c r="F2555" t="s">
        <v>2458</v>
      </c>
      <c r="G2555" t="s">
        <v>1797</v>
      </c>
      <c r="H2555" t="s">
        <v>2462</v>
      </c>
      <c r="I2555" t="s">
        <v>1799</v>
      </c>
      <c r="J2555" t="s">
        <v>1799</v>
      </c>
      <c r="K2555" t="s">
        <v>1799</v>
      </c>
      <c r="L2555" t="s">
        <v>1799</v>
      </c>
      <c r="M2555" t="s">
        <v>1799</v>
      </c>
      <c r="N2555" t="s">
        <v>1799</v>
      </c>
      <c r="O2555" s="184" t="str">
        <f>"["&amp;$C2555&amp;"]["&amp;$D2555&amp;"]["&amp;$F2555&amp;"]"</f>
        <v>[S11_TypeOfTaxRatesApplied][4][TypeOfTax]</v>
      </c>
    </row>
    <row r="2556" spans="1:15" x14ac:dyDescent="0.3">
      <c r="A2556" t="s">
        <v>1793</v>
      </c>
      <c r="B2556" t="s">
        <v>2455</v>
      </c>
      <c r="C2556" t="s">
        <v>2457</v>
      </c>
      <c r="D2556">
        <v>1</v>
      </c>
      <c r="E2556" t="s">
        <v>1447</v>
      </c>
      <c r="F2556" t="s">
        <v>2463</v>
      </c>
      <c r="G2556" t="s">
        <v>1797</v>
      </c>
      <c r="H2556" t="s">
        <v>2464</v>
      </c>
      <c r="I2556" t="s">
        <v>1799</v>
      </c>
      <c r="J2556" t="s">
        <v>1799</v>
      </c>
      <c r="K2556" t="s">
        <v>1799</v>
      </c>
      <c r="L2556" t="s">
        <v>1799</v>
      </c>
      <c r="M2556" t="s">
        <v>1799</v>
      </c>
      <c r="N2556" t="s">
        <v>1799</v>
      </c>
      <c r="O2556" s="184" t="str">
        <f>"["&amp;$C2556&amp;"]["&amp;$D2556&amp;"]["&amp;$F2556&amp;"]"</f>
        <v>[S11_TypeOfTaxRatesApplied][1][TaxRateApplied]</v>
      </c>
    </row>
    <row r="2557" spans="1:15" x14ac:dyDescent="0.3">
      <c r="A2557" t="s">
        <v>1793</v>
      </c>
      <c r="B2557" t="s">
        <v>2455</v>
      </c>
      <c r="C2557" t="s">
        <v>2457</v>
      </c>
      <c r="D2557">
        <v>2</v>
      </c>
      <c r="E2557" t="s">
        <v>1447</v>
      </c>
      <c r="F2557" t="s">
        <v>2463</v>
      </c>
      <c r="G2557" t="s">
        <v>1797</v>
      </c>
      <c r="H2557" t="s">
        <v>2465</v>
      </c>
      <c r="I2557" t="s">
        <v>1799</v>
      </c>
      <c r="J2557" t="s">
        <v>1799</v>
      </c>
      <c r="K2557" t="s">
        <v>1799</v>
      </c>
      <c r="L2557" t="s">
        <v>1799</v>
      </c>
      <c r="M2557" t="s">
        <v>1799</v>
      </c>
      <c r="N2557" t="s">
        <v>1799</v>
      </c>
      <c r="O2557" s="184" t="str">
        <f>"["&amp;$C2557&amp;"]["&amp;$D2557&amp;"]["&amp;$F2557&amp;"]"</f>
        <v>[S11_TypeOfTaxRatesApplied][2][TaxRateApplied]</v>
      </c>
    </row>
    <row r="2558" spans="1:15" x14ac:dyDescent="0.3">
      <c r="A2558" t="s">
        <v>1793</v>
      </c>
      <c r="B2558" t="s">
        <v>2455</v>
      </c>
      <c r="C2558" t="s">
        <v>2457</v>
      </c>
      <c r="D2558">
        <v>3</v>
      </c>
      <c r="E2558" t="s">
        <v>1447</v>
      </c>
      <c r="F2558" t="s">
        <v>2463</v>
      </c>
      <c r="G2558" t="s">
        <v>1797</v>
      </c>
      <c r="H2558" t="s">
        <v>2465</v>
      </c>
      <c r="I2558" t="s">
        <v>1799</v>
      </c>
      <c r="J2558" t="s">
        <v>1799</v>
      </c>
      <c r="K2558" t="s">
        <v>1799</v>
      </c>
      <c r="L2558" t="s">
        <v>1799</v>
      </c>
      <c r="M2558" t="s">
        <v>1799</v>
      </c>
      <c r="N2558" t="s">
        <v>1799</v>
      </c>
      <c r="O2558" s="184" t="str">
        <f>"["&amp;$C2558&amp;"]["&amp;$D2558&amp;"]["&amp;$F2558&amp;"]"</f>
        <v>[S11_TypeOfTaxRatesApplied][3][TaxRateApplied]</v>
      </c>
    </row>
    <row r="2559" spans="1:15" x14ac:dyDescent="0.3">
      <c r="A2559" t="s">
        <v>1793</v>
      </c>
      <c r="B2559" t="s">
        <v>2455</v>
      </c>
      <c r="C2559" t="s">
        <v>2457</v>
      </c>
      <c r="D2559">
        <v>4</v>
      </c>
      <c r="E2559" t="s">
        <v>1447</v>
      </c>
      <c r="F2559" t="s">
        <v>2463</v>
      </c>
      <c r="G2559" t="s">
        <v>1797</v>
      </c>
      <c r="H2559" t="s">
        <v>2465</v>
      </c>
      <c r="I2559" t="s">
        <v>1799</v>
      </c>
      <c r="J2559" t="s">
        <v>1799</v>
      </c>
      <c r="K2559" t="s">
        <v>1799</v>
      </c>
      <c r="L2559" t="s">
        <v>1799</v>
      </c>
      <c r="M2559" t="s">
        <v>1799</v>
      </c>
      <c r="N2559" t="s">
        <v>1799</v>
      </c>
      <c r="O2559" s="184" t="str">
        <f>"["&amp;$C2559&amp;"]["&amp;$D2559&amp;"]["&amp;$F2559&amp;"]"</f>
        <v>[S11_TypeOfTaxRatesApplied][4][TaxRateApplied]</v>
      </c>
    </row>
    <row r="2560" spans="1:15" x14ac:dyDescent="0.3">
      <c r="A2560" t="s">
        <v>1793</v>
      </c>
      <c r="B2560" t="s">
        <v>2466</v>
      </c>
      <c r="C2560" t="s">
        <v>2467</v>
      </c>
      <c r="D2560">
        <v>1</v>
      </c>
      <c r="E2560" t="s">
        <v>1447</v>
      </c>
      <c r="F2560" t="s">
        <v>2468</v>
      </c>
      <c r="G2560" t="s">
        <v>1797</v>
      </c>
      <c r="H2560" t="s">
        <v>2469</v>
      </c>
      <c r="I2560" t="s">
        <v>1799</v>
      </c>
      <c r="J2560" t="s">
        <v>1799</v>
      </c>
      <c r="K2560" t="s">
        <v>1799</v>
      </c>
      <c r="L2560" t="s">
        <v>1799</v>
      </c>
      <c r="M2560" t="s">
        <v>1799</v>
      </c>
      <c r="N2560" t="s">
        <v>1799</v>
      </c>
      <c r="O2560" s="184" t="str">
        <f>"["&amp;$C2560&amp;"]["&amp;$D2560&amp;"]["&amp;$F2560&amp;"]"</f>
        <v>[S12_FraudFreeAllocationOfAllowances][1][DetailsOfProceduresInNationalLaw]</v>
      </c>
    </row>
    <row r="2561" spans="1:15" x14ac:dyDescent="0.3">
      <c r="A2561" t="s">
        <v>1793</v>
      </c>
      <c r="B2561" t="s">
        <v>2466</v>
      </c>
      <c r="C2561" t="s">
        <v>2467</v>
      </c>
      <c r="D2561">
        <v>2</v>
      </c>
      <c r="E2561" t="s">
        <v>1447</v>
      </c>
      <c r="F2561" t="s">
        <v>2468</v>
      </c>
      <c r="G2561" t="s">
        <v>1797</v>
      </c>
      <c r="H2561" t="s">
        <v>2470</v>
      </c>
      <c r="I2561" t="s">
        <v>1799</v>
      </c>
      <c r="J2561" t="s">
        <v>1799</v>
      </c>
      <c r="K2561" t="s">
        <v>1799</v>
      </c>
      <c r="L2561" t="s">
        <v>1799</v>
      </c>
      <c r="M2561" t="s">
        <v>1799</v>
      </c>
      <c r="N2561" t="s">
        <v>1799</v>
      </c>
      <c r="O2561" s="184" t="str">
        <f>"["&amp;$C2561&amp;"]["&amp;$D2561&amp;"]["&amp;$F2561&amp;"]"</f>
        <v>[S12_FraudFreeAllocationOfAllowances][2][DetailsOfProceduresInNationalLaw]</v>
      </c>
    </row>
    <row r="2562" spans="1:15" x14ac:dyDescent="0.3">
      <c r="A2562" t="s">
        <v>1793</v>
      </c>
      <c r="B2562" t="s">
        <v>2466</v>
      </c>
      <c r="C2562" t="s">
        <v>2467</v>
      </c>
      <c r="D2562">
        <v>3</v>
      </c>
      <c r="E2562" t="s">
        <v>1447</v>
      </c>
      <c r="F2562" t="s">
        <v>2468</v>
      </c>
      <c r="G2562" t="s">
        <v>1797</v>
      </c>
      <c r="H2562" t="s">
        <v>2471</v>
      </c>
      <c r="I2562" t="s">
        <v>1799</v>
      </c>
      <c r="J2562" t="s">
        <v>1799</v>
      </c>
      <c r="K2562" t="s">
        <v>1799</v>
      </c>
      <c r="L2562" t="s">
        <v>1799</v>
      </c>
      <c r="M2562" t="s">
        <v>1799</v>
      </c>
      <c r="N2562" t="s">
        <v>1799</v>
      </c>
      <c r="O2562" s="184" t="str">
        <f>"["&amp;$C2562&amp;"]["&amp;$D2562&amp;"]["&amp;$F2562&amp;"]"</f>
        <v>[S12_FraudFreeAllocationOfAllowances][3][DetailsOfProceduresInNationalLaw]</v>
      </c>
    </row>
    <row r="2563" spans="1:15" x14ac:dyDescent="0.3">
      <c r="A2563" t="s">
        <v>1793</v>
      </c>
      <c r="B2563" t="s">
        <v>2466</v>
      </c>
      <c r="C2563" t="s">
        <v>2467</v>
      </c>
      <c r="D2563">
        <v>4</v>
      </c>
      <c r="E2563" t="s">
        <v>1447</v>
      </c>
      <c r="F2563" t="s">
        <v>2468</v>
      </c>
      <c r="G2563" t="s">
        <v>1797</v>
      </c>
      <c r="H2563" t="s">
        <v>2470</v>
      </c>
      <c r="I2563" t="s">
        <v>1799</v>
      </c>
      <c r="J2563" t="s">
        <v>1799</v>
      </c>
      <c r="K2563" t="s">
        <v>1799</v>
      </c>
      <c r="L2563" t="s">
        <v>1799</v>
      </c>
      <c r="M2563" t="s">
        <v>1799</v>
      </c>
      <c r="N2563" t="s">
        <v>1799</v>
      </c>
      <c r="O2563" s="184" t="str">
        <f>"["&amp;$C2563&amp;"]["&amp;$D2563&amp;"]["&amp;$F2563&amp;"]"</f>
        <v>[S12_FraudFreeAllocationOfAllowances][4][DetailsOfProceduresInNationalLaw]</v>
      </c>
    </row>
    <row r="2564" spans="1:15" x14ac:dyDescent="0.3">
      <c r="A2564" t="s">
        <v>1793</v>
      </c>
      <c r="B2564" t="s">
        <v>2466</v>
      </c>
      <c r="C2564" t="s">
        <v>2467</v>
      </c>
      <c r="D2564">
        <v>5</v>
      </c>
      <c r="E2564" t="s">
        <v>1447</v>
      </c>
      <c r="F2564" t="s">
        <v>2468</v>
      </c>
      <c r="G2564" t="s">
        <v>1797</v>
      </c>
      <c r="H2564" t="s">
        <v>2470</v>
      </c>
      <c r="I2564" t="s">
        <v>1799</v>
      </c>
      <c r="J2564" t="s">
        <v>1799</v>
      </c>
      <c r="K2564" t="s">
        <v>1799</v>
      </c>
      <c r="L2564" t="s">
        <v>1799</v>
      </c>
      <c r="M2564" t="s">
        <v>1799</v>
      </c>
      <c r="N2564" t="s">
        <v>1799</v>
      </c>
      <c r="O2564" s="184" t="str">
        <f>"["&amp;$C2564&amp;"]["&amp;$D2564&amp;"]["&amp;$F2564&amp;"]"</f>
        <v>[S12_FraudFreeAllocationOfAllowances][5][DetailsOfProceduresInNationalLaw]</v>
      </c>
    </row>
    <row r="2565" spans="1:15" x14ac:dyDescent="0.3">
      <c r="A2565" t="s">
        <v>1793</v>
      </c>
      <c r="B2565" t="s">
        <v>2466</v>
      </c>
      <c r="C2565" t="s">
        <v>2467</v>
      </c>
      <c r="D2565">
        <v>6</v>
      </c>
      <c r="E2565" t="s">
        <v>1447</v>
      </c>
      <c r="F2565" t="s">
        <v>2468</v>
      </c>
      <c r="G2565" t="s">
        <v>1797</v>
      </c>
      <c r="H2565" t="s">
        <v>2472</v>
      </c>
      <c r="I2565" t="s">
        <v>1799</v>
      </c>
      <c r="J2565" t="s">
        <v>1799</v>
      </c>
      <c r="K2565" t="s">
        <v>1799</v>
      </c>
      <c r="L2565" t="s">
        <v>1799</v>
      </c>
      <c r="M2565" t="s">
        <v>1799</v>
      </c>
      <c r="N2565" t="s">
        <v>1799</v>
      </c>
      <c r="O2565" s="184" t="str">
        <f>"["&amp;$C2565&amp;"]["&amp;$D2565&amp;"]["&amp;$F2565&amp;"]"</f>
        <v>[S12_FraudFreeAllocationOfAllowances][6][DetailsOfProceduresInNationalLaw]</v>
      </c>
    </row>
    <row r="2566" spans="1:15" x14ac:dyDescent="0.3">
      <c r="A2566" t="s">
        <v>1793</v>
      </c>
      <c r="B2566" t="s">
        <v>2473</v>
      </c>
      <c r="C2566" t="s">
        <v>2474</v>
      </c>
      <c r="D2566">
        <v>1</v>
      </c>
      <c r="E2566" t="s">
        <v>1447</v>
      </c>
      <c r="F2566" t="s">
        <v>2475</v>
      </c>
      <c r="G2566" t="s">
        <v>1797</v>
      </c>
      <c r="H2566" t="s">
        <v>2476</v>
      </c>
      <c r="I2566" t="s">
        <v>1799</v>
      </c>
      <c r="J2566" t="s">
        <v>1799</v>
      </c>
      <c r="K2566" t="s">
        <v>1799</v>
      </c>
      <c r="L2566" t="s">
        <v>1799</v>
      </c>
      <c r="M2566" t="s">
        <v>1799</v>
      </c>
      <c r="N2566" t="s">
        <v>1799</v>
      </c>
      <c r="O2566" s="184" t="str">
        <f>"["&amp;$C2566&amp;"]["&amp;$D2566&amp;"]["&amp;$F2566&amp;"]"</f>
        <v>[S12_CompetentAuthoritiesAwareOfFraud][1][DetailsOfArrangementsAndProcedures]</v>
      </c>
    </row>
    <row r="2567" spans="1:15" x14ac:dyDescent="0.3">
      <c r="A2567" t="s">
        <v>1793</v>
      </c>
      <c r="B2567" t="s">
        <v>2473</v>
      </c>
      <c r="C2567" t="s">
        <v>2474</v>
      </c>
      <c r="D2567">
        <v>2</v>
      </c>
      <c r="E2567" t="s">
        <v>1447</v>
      </c>
      <c r="F2567" t="s">
        <v>2475</v>
      </c>
      <c r="G2567" t="s">
        <v>1797</v>
      </c>
      <c r="H2567" t="s">
        <v>2477</v>
      </c>
      <c r="I2567" t="s">
        <v>1799</v>
      </c>
      <c r="J2567" t="s">
        <v>1799</v>
      </c>
      <c r="K2567" t="s">
        <v>1799</v>
      </c>
      <c r="L2567" t="s">
        <v>1799</v>
      </c>
      <c r="M2567" t="s">
        <v>1799</v>
      </c>
      <c r="N2567" t="s">
        <v>1799</v>
      </c>
      <c r="O2567" s="184" t="str">
        <f>"["&amp;$C2567&amp;"]["&amp;$D2567&amp;"]["&amp;$F2567&amp;"]"</f>
        <v>[S12_CompetentAuthoritiesAwareOfFraud][2][DetailsOfArrangementsAndProcedures]</v>
      </c>
    </row>
    <row r="2568" spans="1:15" x14ac:dyDescent="0.3">
      <c r="A2568" t="s">
        <v>1793</v>
      </c>
      <c r="B2568" t="s">
        <v>2473</v>
      </c>
      <c r="C2568" t="s">
        <v>2474</v>
      </c>
      <c r="D2568">
        <v>3</v>
      </c>
      <c r="E2568" t="s">
        <v>1447</v>
      </c>
      <c r="F2568" t="s">
        <v>2475</v>
      </c>
      <c r="G2568" t="s">
        <v>1797</v>
      </c>
      <c r="H2568" t="s">
        <v>2477</v>
      </c>
      <c r="I2568" t="s">
        <v>1799</v>
      </c>
      <c r="J2568" t="s">
        <v>1799</v>
      </c>
      <c r="K2568" t="s">
        <v>1799</v>
      </c>
      <c r="L2568" t="s">
        <v>1799</v>
      </c>
      <c r="M2568" t="s">
        <v>1799</v>
      </c>
      <c r="N2568" t="s">
        <v>1799</v>
      </c>
      <c r="O2568" s="184" t="str">
        <f>"["&amp;$C2568&amp;"]["&amp;$D2568&amp;"]["&amp;$F2568&amp;"]"</f>
        <v>[S12_CompetentAuthoritiesAwareOfFraud][3][DetailsOfArrangementsAndProcedures]</v>
      </c>
    </row>
    <row r="2569" spans="1:15" x14ac:dyDescent="0.3">
      <c r="A2569" t="s">
        <v>1793</v>
      </c>
      <c r="B2569" t="s">
        <v>2473</v>
      </c>
      <c r="C2569" t="s">
        <v>2474</v>
      </c>
      <c r="D2569">
        <v>4</v>
      </c>
      <c r="E2569" t="s">
        <v>1447</v>
      </c>
      <c r="F2569" t="s">
        <v>2475</v>
      </c>
      <c r="G2569" t="s">
        <v>1797</v>
      </c>
      <c r="H2569" t="s">
        <v>2477</v>
      </c>
      <c r="I2569" t="s">
        <v>1799</v>
      </c>
      <c r="J2569" t="s">
        <v>1799</v>
      </c>
      <c r="K2569" t="s">
        <v>1799</v>
      </c>
      <c r="L2569" t="s">
        <v>1799</v>
      </c>
      <c r="M2569" t="s">
        <v>1799</v>
      </c>
      <c r="N2569" t="s">
        <v>1799</v>
      </c>
      <c r="O2569" s="184" t="str">
        <f>"["&amp;$C2569&amp;"]["&amp;$D2569&amp;"]["&amp;$F2569&amp;"]"</f>
        <v>[S12_CompetentAuthoritiesAwareOfFraud][4][DetailsOfArrangementsAndProcedures]</v>
      </c>
    </row>
    <row r="2570" spans="1:15" x14ac:dyDescent="0.3">
      <c r="A2570" t="s">
        <v>1793</v>
      </c>
      <c r="B2570" t="s">
        <v>2478</v>
      </c>
      <c r="C2570" t="s">
        <v>2479</v>
      </c>
      <c r="D2570">
        <v>1</v>
      </c>
      <c r="E2570" t="s">
        <v>1447</v>
      </c>
      <c r="F2570" t="s">
        <v>2480</v>
      </c>
      <c r="G2570" t="s">
        <v>1869</v>
      </c>
      <c r="H2570" t="s">
        <v>1799</v>
      </c>
      <c r="I2570" t="s">
        <v>1799</v>
      </c>
      <c r="J2570" t="s">
        <v>1799</v>
      </c>
      <c r="K2570" t="s">
        <v>2481</v>
      </c>
      <c r="L2570" t="s">
        <v>1799</v>
      </c>
      <c r="M2570" t="s">
        <v>1799</v>
      </c>
      <c r="N2570" t="s">
        <v>1799</v>
      </c>
      <c r="O2570" s="184" t="str">
        <f>"["&amp;$C2570&amp;"]["&amp;$D2570&amp;"]["&amp;$F2570&amp;"]"</f>
        <v>[S13_AnyOtherIssues][1][OtherInformationOrIssues]</v>
      </c>
    </row>
    <row r="2571" spans="1:15" x14ac:dyDescent="0.3">
      <c r="A2571" t="s">
        <v>1793</v>
      </c>
      <c r="B2571" t="s">
        <v>2478</v>
      </c>
      <c r="C2571" t="s">
        <v>2479</v>
      </c>
      <c r="D2571">
        <v>7</v>
      </c>
      <c r="E2571" t="s">
        <v>1447</v>
      </c>
      <c r="F2571" t="s">
        <v>2480</v>
      </c>
      <c r="G2571" t="s">
        <v>1869</v>
      </c>
      <c r="H2571" t="s">
        <v>1799</v>
      </c>
      <c r="I2571" t="s">
        <v>1799</v>
      </c>
      <c r="J2571" t="s">
        <v>1799</v>
      </c>
      <c r="K2571" t="s">
        <v>2482</v>
      </c>
      <c r="L2571" t="s">
        <v>1799</v>
      </c>
      <c r="M2571" t="s">
        <v>1799</v>
      </c>
      <c r="N2571" t="s">
        <v>1799</v>
      </c>
      <c r="O2571" s="184" t="str">
        <f>"["&amp;$C2571&amp;"]["&amp;$D2571&amp;"]["&amp;$F2571&amp;"]"</f>
        <v>[S13_AnyOtherIssues][7][OtherInformationOrIssues]</v>
      </c>
    </row>
    <row r="2572" spans="1:15" x14ac:dyDescent="0.3">
      <c r="A2572" t="s">
        <v>1793</v>
      </c>
      <c r="B2572" t="s">
        <v>2478</v>
      </c>
      <c r="C2572" t="s">
        <v>2479</v>
      </c>
      <c r="D2572">
        <v>10</v>
      </c>
      <c r="E2572" t="s">
        <v>1447</v>
      </c>
      <c r="F2572" t="s">
        <v>2480</v>
      </c>
      <c r="G2572" t="s">
        <v>1869</v>
      </c>
      <c r="H2572" t="s">
        <v>1799</v>
      </c>
      <c r="I2572" t="s">
        <v>1799</v>
      </c>
      <c r="J2572" t="s">
        <v>1799</v>
      </c>
      <c r="K2572" t="s">
        <v>2483</v>
      </c>
      <c r="L2572" t="s">
        <v>1799</v>
      </c>
      <c r="M2572" t="s">
        <v>1799</v>
      </c>
      <c r="N2572" t="s">
        <v>1799</v>
      </c>
      <c r="O2572" s="184" t="str">
        <f>"["&amp;$C2572&amp;"]["&amp;$D2572&amp;"]["&amp;$F2572&amp;"]"</f>
        <v>[S13_AnyOtherIssues][10][OtherInformationOrIssues]</v>
      </c>
    </row>
    <row r="2573" spans="1:15" x14ac:dyDescent="0.3">
      <c r="A2573" t="s">
        <v>1793</v>
      </c>
      <c r="B2573" t="s">
        <v>2478</v>
      </c>
      <c r="C2573" t="s">
        <v>2479</v>
      </c>
      <c r="D2573">
        <v>12</v>
      </c>
      <c r="E2573" t="s">
        <v>1447</v>
      </c>
      <c r="F2573" t="s">
        <v>2480</v>
      </c>
      <c r="G2573" t="s">
        <v>1869</v>
      </c>
      <c r="H2573" t="s">
        <v>1799</v>
      </c>
      <c r="I2573" t="s">
        <v>1799</v>
      </c>
      <c r="J2573" t="s">
        <v>1799</v>
      </c>
      <c r="K2573" t="s">
        <v>2484</v>
      </c>
      <c r="L2573" t="s">
        <v>1799</v>
      </c>
      <c r="M2573" t="s">
        <v>1799</v>
      </c>
      <c r="N2573" t="s">
        <v>1799</v>
      </c>
      <c r="O2573" s="184" t="str">
        <f>"["&amp;$C2573&amp;"]["&amp;$D2573&amp;"]["&amp;$F2573&amp;"]"</f>
        <v>[S13_AnyOtherIssues][12][OtherInformationOrIssues]</v>
      </c>
    </row>
    <row r="2574" spans="1:15" x14ac:dyDescent="0.3">
      <c r="A2574" t="s">
        <v>1793</v>
      </c>
      <c r="B2574" t="s">
        <v>2478</v>
      </c>
      <c r="C2574" t="s">
        <v>2479</v>
      </c>
      <c r="D2574">
        <v>13</v>
      </c>
      <c r="E2574" t="s">
        <v>1447</v>
      </c>
      <c r="F2574" t="s">
        <v>2480</v>
      </c>
      <c r="G2574" t="s">
        <v>1869</v>
      </c>
      <c r="H2574" t="s">
        <v>1799</v>
      </c>
      <c r="I2574" t="s">
        <v>1799</v>
      </c>
      <c r="J2574" t="s">
        <v>1799</v>
      </c>
      <c r="K2574" t="s">
        <v>2485</v>
      </c>
      <c r="L2574" t="s">
        <v>1799</v>
      </c>
      <c r="M2574" t="s">
        <v>1799</v>
      </c>
      <c r="N2574" t="s">
        <v>1799</v>
      </c>
      <c r="O2574" s="184" t="str">
        <f>"["&amp;$C2574&amp;"]["&amp;$D2574&amp;"]["&amp;$F2574&amp;"]"</f>
        <v>[S13_AnyOtherIssues][13][OtherInformationOrIssues]</v>
      </c>
    </row>
    <row r="2575" spans="1:15" x14ac:dyDescent="0.3">
      <c r="A2575" t="s">
        <v>1793</v>
      </c>
      <c r="B2575" t="s">
        <v>2478</v>
      </c>
      <c r="C2575" t="s">
        <v>2479</v>
      </c>
      <c r="D2575">
        <v>14</v>
      </c>
      <c r="E2575" t="s">
        <v>1447</v>
      </c>
      <c r="F2575" t="s">
        <v>2480</v>
      </c>
      <c r="G2575" t="s">
        <v>1869</v>
      </c>
      <c r="H2575" t="s">
        <v>1799</v>
      </c>
      <c r="I2575" t="s">
        <v>1799</v>
      </c>
      <c r="J2575" t="s">
        <v>1799</v>
      </c>
      <c r="K2575" t="s">
        <v>2486</v>
      </c>
      <c r="L2575" t="s">
        <v>1799</v>
      </c>
      <c r="M2575" t="s">
        <v>1799</v>
      </c>
      <c r="N2575" t="s">
        <v>1799</v>
      </c>
      <c r="O2575" s="184" t="str">
        <f>"["&amp;$C2575&amp;"]["&amp;$D2575&amp;"]["&amp;$F2575&amp;"]"</f>
        <v>[S13_AnyOtherIssues][14][OtherInformationOrIssues]</v>
      </c>
    </row>
    <row r="2576" spans="1:15" x14ac:dyDescent="0.3">
      <c r="A2576" t="s">
        <v>1793</v>
      </c>
      <c r="B2576" t="s">
        <v>2478</v>
      </c>
      <c r="C2576" t="s">
        <v>2479</v>
      </c>
      <c r="D2576">
        <v>15</v>
      </c>
      <c r="E2576" t="s">
        <v>1447</v>
      </c>
      <c r="F2576" t="s">
        <v>2480</v>
      </c>
      <c r="G2576" t="s">
        <v>1869</v>
      </c>
      <c r="H2576" t="s">
        <v>1799</v>
      </c>
      <c r="I2576" t="s">
        <v>1799</v>
      </c>
      <c r="J2576" t="s">
        <v>1799</v>
      </c>
      <c r="K2576" t="s">
        <v>2487</v>
      </c>
      <c r="L2576" t="s">
        <v>1799</v>
      </c>
      <c r="M2576" t="s">
        <v>1799</v>
      </c>
      <c r="N2576" t="s">
        <v>1799</v>
      </c>
      <c r="O2576" s="184" t="str">
        <f>"["&amp;$C2576&amp;"]["&amp;$D2576&amp;"]["&amp;$F2576&amp;"]"</f>
        <v>[S13_AnyOtherIssues][15][OtherInformationOrIssues]</v>
      </c>
    </row>
    <row r="2577" spans="1:15" x14ac:dyDescent="0.3">
      <c r="A2577" t="s">
        <v>1793</v>
      </c>
      <c r="B2577" t="s">
        <v>2478</v>
      </c>
      <c r="C2577" t="s">
        <v>2479</v>
      </c>
      <c r="D2577">
        <v>16</v>
      </c>
      <c r="E2577" t="s">
        <v>1447</v>
      </c>
      <c r="F2577" t="s">
        <v>2480</v>
      </c>
      <c r="G2577" t="s">
        <v>1869</v>
      </c>
      <c r="H2577" t="s">
        <v>1799</v>
      </c>
      <c r="I2577" t="s">
        <v>1799</v>
      </c>
      <c r="J2577" t="s">
        <v>1799</v>
      </c>
      <c r="K2577" t="s">
        <v>2488</v>
      </c>
      <c r="L2577" t="s">
        <v>1799</v>
      </c>
      <c r="M2577" t="s">
        <v>1799</v>
      </c>
      <c r="N2577" t="s">
        <v>1799</v>
      </c>
      <c r="O2577" s="184" t="str">
        <f>"["&amp;$C2577&amp;"]["&amp;$D2577&amp;"]["&amp;$F2577&amp;"]"</f>
        <v>[S13_AnyOtherIssues][16][OtherInformationOrIssues]</v>
      </c>
    </row>
    <row r="2578" spans="1:15" x14ac:dyDescent="0.3">
      <c r="A2578" t="s">
        <v>1793</v>
      </c>
      <c r="B2578" t="s">
        <v>2478</v>
      </c>
      <c r="C2578" t="s">
        <v>2479</v>
      </c>
      <c r="D2578">
        <v>17</v>
      </c>
      <c r="E2578" t="s">
        <v>1447</v>
      </c>
      <c r="F2578" t="s">
        <v>2480</v>
      </c>
      <c r="G2578" t="s">
        <v>1869</v>
      </c>
      <c r="H2578" t="s">
        <v>1799</v>
      </c>
      <c r="I2578" t="s">
        <v>1799</v>
      </c>
      <c r="J2578" t="s">
        <v>1799</v>
      </c>
      <c r="K2578" t="s">
        <v>2489</v>
      </c>
      <c r="L2578" t="s">
        <v>1799</v>
      </c>
      <c r="M2578" t="s">
        <v>1799</v>
      </c>
      <c r="N2578" t="s">
        <v>1799</v>
      </c>
      <c r="O2578" s="184" t="str">
        <f>"["&amp;$C2578&amp;"]["&amp;$D2578&amp;"]["&amp;$F2578&amp;"]"</f>
        <v>[S13_AnyOtherIssues][17][OtherInformationOrIssues]</v>
      </c>
    </row>
    <row r="2579" spans="1:15" x14ac:dyDescent="0.3">
      <c r="A2579" t="s">
        <v>1793</v>
      </c>
      <c r="B2579" t="s">
        <v>2478</v>
      </c>
      <c r="C2579" t="s">
        <v>2479</v>
      </c>
      <c r="D2579">
        <v>18</v>
      </c>
      <c r="E2579" t="s">
        <v>1447</v>
      </c>
      <c r="F2579" t="s">
        <v>2480</v>
      </c>
      <c r="G2579" t="s">
        <v>1869</v>
      </c>
      <c r="H2579" t="s">
        <v>1799</v>
      </c>
      <c r="I2579" t="s">
        <v>1799</v>
      </c>
      <c r="J2579" t="s">
        <v>1799</v>
      </c>
      <c r="K2579" t="s">
        <v>2490</v>
      </c>
      <c r="L2579" t="s">
        <v>1799</v>
      </c>
      <c r="M2579" t="s">
        <v>1799</v>
      </c>
      <c r="N2579" t="s">
        <v>1799</v>
      </c>
      <c r="O2579" s="184" t="str">
        <f>"["&amp;$C2579&amp;"]["&amp;$D2579&amp;"]["&amp;$F2579&amp;"]"</f>
        <v>[S13_AnyOtherIssues][18][OtherInformationOrIssues]</v>
      </c>
    </row>
    <row r="2580" spans="1:15" x14ac:dyDescent="0.3">
      <c r="A2580" t="s">
        <v>1793</v>
      </c>
      <c r="B2580" t="s">
        <v>2478</v>
      </c>
      <c r="C2580" t="s">
        <v>2479</v>
      </c>
      <c r="D2580">
        <v>19</v>
      </c>
      <c r="E2580" t="s">
        <v>1447</v>
      </c>
      <c r="F2580" t="s">
        <v>2480</v>
      </c>
      <c r="G2580" t="s">
        <v>1869</v>
      </c>
      <c r="H2580" t="s">
        <v>1799</v>
      </c>
      <c r="I2580" t="s">
        <v>1799</v>
      </c>
      <c r="J2580" t="s">
        <v>1799</v>
      </c>
      <c r="K2580" t="s">
        <v>2491</v>
      </c>
      <c r="L2580" t="s">
        <v>1799</v>
      </c>
      <c r="M2580" t="s">
        <v>1799</v>
      </c>
      <c r="N2580" t="s">
        <v>1799</v>
      </c>
      <c r="O2580" s="184" t="str">
        <f>"["&amp;$C2580&amp;"]["&amp;$D2580&amp;"]["&amp;$F2580&amp;"]"</f>
        <v>[S13_AnyOtherIssues][19][OtherInformationOrIssues]</v>
      </c>
    </row>
    <row r="2581" spans="1:15" x14ac:dyDescent="0.3">
      <c r="A2581" t="s">
        <v>1793</v>
      </c>
      <c r="B2581" t="s">
        <v>2478</v>
      </c>
      <c r="C2581" t="s">
        <v>2479</v>
      </c>
      <c r="D2581">
        <v>35</v>
      </c>
      <c r="E2581" t="s">
        <v>1447</v>
      </c>
      <c r="F2581" t="s">
        <v>2480</v>
      </c>
      <c r="G2581" t="s">
        <v>1869</v>
      </c>
      <c r="H2581" t="s">
        <v>1799</v>
      </c>
      <c r="I2581" t="s">
        <v>1799</v>
      </c>
      <c r="J2581" t="s">
        <v>1799</v>
      </c>
      <c r="K2581" t="s">
        <v>2492</v>
      </c>
      <c r="L2581" t="s">
        <v>1799</v>
      </c>
      <c r="M2581" t="s">
        <v>1799</v>
      </c>
      <c r="N2581" t="s">
        <v>1799</v>
      </c>
      <c r="O2581" s="184" t="str">
        <f>"["&amp;$C2581&amp;"]["&amp;$D2581&amp;"]["&amp;$F2581&amp;"]"</f>
        <v>[S13_AnyOtherIssues][35][OtherInformationOrIssues]</v>
      </c>
    </row>
    <row r="2582" spans="1:15" x14ac:dyDescent="0.3">
      <c r="A2582" t="s">
        <v>1793</v>
      </c>
      <c r="B2582" t="s">
        <v>2478</v>
      </c>
      <c r="C2582" t="s">
        <v>2479</v>
      </c>
      <c r="D2582">
        <v>36</v>
      </c>
      <c r="E2582" t="s">
        <v>1447</v>
      </c>
      <c r="F2582" t="s">
        <v>2480</v>
      </c>
      <c r="G2582" t="s">
        <v>1869</v>
      </c>
      <c r="H2582" t="s">
        <v>1799</v>
      </c>
      <c r="I2582" t="s">
        <v>1799</v>
      </c>
      <c r="J2582" t="s">
        <v>1799</v>
      </c>
      <c r="K2582" t="s">
        <v>2493</v>
      </c>
      <c r="L2582" t="s">
        <v>1799</v>
      </c>
      <c r="M2582" t="s">
        <v>1799</v>
      </c>
      <c r="N2582" t="s">
        <v>1799</v>
      </c>
      <c r="O2582" s="184" t="str">
        <f>"["&amp;$C2582&amp;"]["&amp;$D2582&amp;"]["&amp;$F2582&amp;"]"</f>
        <v>[S13_AnyOtherIssues][36][OtherInformationOrIssues]</v>
      </c>
    </row>
    <row r="2583" spans="1:15" x14ac:dyDescent="0.3">
      <c r="A2583" t="s">
        <v>1793</v>
      </c>
      <c r="B2583" t="s">
        <v>2478</v>
      </c>
      <c r="C2583" t="s">
        <v>2479</v>
      </c>
      <c r="D2583">
        <v>37</v>
      </c>
      <c r="E2583" t="s">
        <v>1447</v>
      </c>
      <c r="F2583" t="s">
        <v>2480</v>
      </c>
      <c r="G2583" t="s">
        <v>1869</v>
      </c>
      <c r="H2583" t="s">
        <v>1799</v>
      </c>
      <c r="I2583" t="s">
        <v>1799</v>
      </c>
      <c r="J2583" t="s">
        <v>1799</v>
      </c>
      <c r="K2583" t="s">
        <v>2494</v>
      </c>
      <c r="L2583" t="s">
        <v>1799</v>
      </c>
      <c r="M2583" t="s">
        <v>1799</v>
      </c>
      <c r="N2583" t="s">
        <v>1799</v>
      </c>
      <c r="O2583" s="184" t="str">
        <f>"["&amp;$C2583&amp;"]["&amp;$D2583&amp;"]["&amp;$F2583&amp;"]"</f>
        <v>[S13_AnyOtherIssues][37][OtherInformationOrIssues]</v>
      </c>
    </row>
    <row r="2584" spans="1:15" x14ac:dyDescent="0.3">
      <c r="A2584" t="s">
        <v>1793</v>
      </c>
      <c r="B2584" t="s">
        <v>2478</v>
      </c>
      <c r="C2584" t="s">
        <v>2479</v>
      </c>
      <c r="D2584">
        <v>38</v>
      </c>
      <c r="E2584" t="s">
        <v>1447</v>
      </c>
      <c r="F2584" t="s">
        <v>2480</v>
      </c>
      <c r="G2584" t="s">
        <v>1869</v>
      </c>
      <c r="H2584" t="s">
        <v>1799</v>
      </c>
      <c r="I2584" t="s">
        <v>1799</v>
      </c>
      <c r="J2584" t="s">
        <v>1799</v>
      </c>
      <c r="K2584" t="s">
        <v>2495</v>
      </c>
      <c r="L2584" t="s">
        <v>1799</v>
      </c>
      <c r="M2584" t="s">
        <v>1799</v>
      </c>
      <c r="N2584" t="s">
        <v>1799</v>
      </c>
      <c r="O2584" s="184" t="str">
        <f>"["&amp;$C2584&amp;"]["&amp;$D2584&amp;"]["&amp;$F2584&amp;"]"</f>
        <v>[S13_AnyOtherIssues][38][OtherInformationOrIssues]</v>
      </c>
    </row>
    <row r="2585" spans="1:15" x14ac:dyDescent="0.3">
      <c r="A2585" t="s">
        <v>1793</v>
      </c>
      <c r="B2585" t="s">
        <v>2478</v>
      </c>
      <c r="C2585" t="s">
        <v>2479</v>
      </c>
      <c r="D2585">
        <v>39</v>
      </c>
      <c r="E2585" t="s">
        <v>1447</v>
      </c>
      <c r="F2585" t="s">
        <v>2480</v>
      </c>
      <c r="G2585" t="s">
        <v>1869</v>
      </c>
      <c r="H2585" t="s">
        <v>1799</v>
      </c>
      <c r="I2585" t="s">
        <v>1799</v>
      </c>
      <c r="J2585" t="s">
        <v>1799</v>
      </c>
      <c r="K2585" t="s">
        <v>2496</v>
      </c>
      <c r="L2585" t="s">
        <v>1799</v>
      </c>
      <c r="M2585" t="s">
        <v>1799</v>
      </c>
      <c r="N2585" t="s">
        <v>1799</v>
      </c>
      <c r="O2585" s="184" t="str">
        <f>"["&amp;$C2585&amp;"]["&amp;$D2585&amp;"]["&amp;$F2585&amp;"]"</f>
        <v>[S13_AnyOtherIssues][39][OtherInformationOrIssues]</v>
      </c>
    </row>
    <row r="2586" spans="1:15" x14ac:dyDescent="0.3">
      <c r="A2586" t="s">
        <v>1793</v>
      </c>
      <c r="B2586" t="s">
        <v>2478</v>
      </c>
      <c r="C2586" t="s">
        <v>2479</v>
      </c>
      <c r="D2586">
        <v>40</v>
      </c>
      <c r="E2586" t="s">
        <v>1447</v>
      </c>
      <c r="F2586" t="s">
        <v>2480</v>
      </c>
      <c r="G2586" t="s">
        <v>1869</v>
      </c>
      <c r="H2586" t="s">
        <v>1799</v>
      </c>
      <c r="I2586" t="s">
        <v>1799</v>
      </c>
      <c r="J2586" t="s">
        <v>1799</v>
      </c>
      <c r="K2586" t="s">
        <v>2496</v>
      </c>
      <c r="L2586" t="s">
        <v>1799</v>
      </c>
      <c r="M2586" t="s">
        <v>1799</v>
      </c>
      <c r="N2586" t="s">
        <v>1799</v>
      </c>
      <c r="O2586" s="184" t="str">
        <f>"["&amp;$C2586&amp;"]["&amp;$D2586&amp;"]["&amp;$F2586&amp;"]"</f>
        <v>[S13_AnyOtherIssues][40][OtherInformationOrIssues]</v>
      </c>
    </row>
    <row r="2587" spans="1:15" x14ac:dyDescent="0.3">
      <c r="A2587" t="s">
        <v>1793</v>
      </c>
      <c r="B2587" t="s">
        <v>2478</v>
      </c>
      <c r="C2587" t="s">
        <v>2479</v>
      </c>
      <c r="D2587">
        <v>41</v>
      </c>
      <c r="E2587" t="s">
        <v>1447</v>
      </c>
      <c r="F2587" t="s">
        <v>2480</v>
      </c>
      <c r="G2587" t="s">
        <v>1869</v>
      </c>
      <c r="H2587" t="s">
        <v>1799</v>
      </c>
      <c r="I2587" t="s">
        <v>1799</v>
      </c>
      <c r="J2587" t="s">
        <v>1799</v>
      </c>
      <c r="K2587" t="s">
        <v>2497</v>
      </c>
      <c r="L2587" t="s">
        <v>1799</v>
      </c>
      <c r="M2587" t="s">
        <v>1799</v>
      </c>
      <c r="N2587" t="s">
        <v>1799</v>
      </c>
      <c r="O2587" s="184" t="str">
        <f>"["&amp;$C2587&amp;"]["&amp;$D2587&amp;"]["&amp;$F2587&amp;"]"</f>
        <v>[S13_AnyOtherIssues][41][OtherInformationOrIssues]</v>
      </c>
    </row>
    <row r="2588" spans="1:15" x14ac:dyDescent="0.3">
      <c r="A2588" t="s">
        <v>1793</v>
      </c>
      <c r="B2588" t="s">
        <v>2478</v>
      </c>
      <c r="C2588" t="s">
        <v>2479</v>
      </c>
      <c r="D2588">
        <v>47</v>
      </c>
      <c r="E2588" t="s">
        <v>1447</v>
      </c>
      <c r="F2588" t="s">
        <v>2480</v>
      </c>
      <c r="G2588" t="s">
        <v>1869</v>
      </c>
      <c r="H2588" t="s">
        <v>1799</v>
      </c>
      <c r="I2588" t="s">
        <v>1799</v>
      </c>
      <c r="J2588" t="s">
        <v>1799</v>
      </c>
      <c r="K2588" t="s">
        <v>2498</v>
      </c>
      <c r="L2588" t="s">
        <v>1799</v>
      </c>
      <c r="M2588" t="s">
        <v>1799</v>
      </c>
      <c r="N2588" t="s">
        <v>1799</v>
      </c>
      <c r="O2588" s="184" t="str">
        <f>"["&amp;$C2588&amp;"]["&amp;$D2588&amp;"]["&amp;$F2588&amp;"]"</f>
        <v>[S13_AnyOtherIssues][47][OtherInformationOrIssues]</v>
      </c>
    </row>
    <row r="2589" spans="1:15" x14ac:dyDescent="0.3">
      <c r="A2589" t="s">
        <v>1793</v>
      </c>
      <c r="B2589" t="s">
        <v>2478</v>
      </c>
      <c r="C2589" t="s">
        <v>2479</v>
      </c>
      <c r="D2589">
        <v>50</v>
      </c>
      <c r="E2589" t="s">
        <v>1447</v>
      </c>
      <c r="F2589" t="s">
        <v>2480</v>
      </c>
      <c r="G2589" t="s">
        <v>1869</v>
      </c>
      <c r="H2589" t="s">
        <v>1799</v>
      </c>
      <c r="I2589" t="s">
        <v>1799</v>
      </c>
      <c r="J2589" t="s">
        <v>1799</v>
      </c>
      <c r="K2589" t="s">
        <v>2499</v>
      </c>
      <c r="L2589" t="s">
        <v>1799</v>
      </c>
      <c r="M2589" t="s">
        <v>1799</v>
      </c>
      <c r="N2589" t="s">
        <v>1799</v>
      </c>
      <c r="O2589" s="184" t="str">
        <f>"["&amp;$C2589&amp;"]["&amp;$D2589&amp;"]["&amp;$F2589&amp;"]"</f>
        <v>[S13_AnyOtherIssues][50][OtherInformationOrIssues]</v>
      </c>
    </row>
    <row r="2590" spans="1:15" x14ac:dyDescent="0.3">
      <c r="A2590" t="s">
        <v>1793</v>
      </c>
      <c r="B2590" t="s">
        <v>2478</v>
      </c>
      <c r="C2590" t="s">
        <v>2479</v>
      </c>
      <c r="D2590">
        <v>51</v>
      </c>
      <c r="E2590" t="s">
        <v>1447</v>
      </c>
      <c r="F2590" t="s">
        <v>2480</v>
      </c>
      <c r="G2590" t="s">
        <v>1869</v>
      </c>
      <c r="H2590" t="s">
        <v>1799</v>
      </c>
      <c r="I2590" t="s">
        <v>1799</v>
      </c>
      <c r="J2590" t="s">
        <v>1799</v>
      </c>
      <c r="K2590" t="s">
        <v>2500</v>
      </c>
      <c r="L2590" t="s">
        <v>1799</v>
      </c>
      <c r="M2590" t="s">
        <v>1799</v>
      </c>
      <c r="N2590" t="s">
        <v>1799</v>
      </c>
      <c r="O2590" s="184" t="str">
        <f>"["&amp;$C2590&amp;"]["&amp;$D2590&amp;"]["&amp;$F2590&amp;"]"</f>
        <v>[S13_AnyOtherIssues][51][OtherInformationOrIssues]</v>
      </c>
    </row>
    <row r="2591" spans="1:15" x14ac:dyDescent="0.3">
      <c r="A2591" t="s">
        <v>1793</v>
      </c>
      <c r="B2591" t="s">
        <v>2478</v>
      </c>
      <c r="C2591" t="s">
        <v>2479</v>
      </c>
      <c r="D2591">
        <v>52</v>
      </c>
      <c r="E2591" t="s">
        <v>1447</v>
      </c>
      <c r="F2591" t="s">
        <v>2480</v>
      </c>
      <c r="G2591" t="s">
        <v>1869</v>
      </c>
      <c r="H2591" t="s">
        <v>1799</v>
      </c>
      <c r="I2591" t="s">
        <v>1799</v>
      </c>
      <c r="J2591" t="s">
        <v>1799</v>
      </c>
      <c r="K2591" t="s">
        <v>2499</v>
      </c>
      <c r="L2591" t="s">
        <v>1799</v>
      </c>
      <c r="M2591" t="s">
        <v>1799</v>
      </c>
      <c r="N2591" t="s">
        <v>1799</v>
      </c>
      <c r="O2591" s="184" t="str">
        <f>"["&amp;$C2591&amp;"]["&amp;$D2591&amp;"]["&amp;$F2591&amp;"]"</f>
        <v>[S13_AnyOtherIssues][52][OtherInformationOrIssues]</v>
      </c>
    </row>
    <row r="2592" spans="1:15" x14ac:dyDescent="0.3">
      <c r="A2592" t="s">
        <v>1793</v>
      </c>
      <c r="B2592" t="s">
        <v>2478</v>
      </c>
      <c r="C2592" t="s">
        <v>2479</v>
      </c>
      <c r="D2592">
        <v>53</v>
      </c>
      <c r="E2592" t="s">
        <v>1447</v>
      </c>
      <c r="F2592" t="s">
        <v>2480</v>
      </c>
      <c r="G2592" t="s">
        <v>1869</v>
      </c>
      <c r="H2592" t="s">
        <v>1799</v>
      </c>
      <c r="I2592" t="s">
        <v>1799</v>
      </c>
      <c r="J2592" t="s">
        <v>1799</v>
      </c>
      <c r="K2592" t="s">
        <v>2500</v>
      </c>
      <c r="L2592" t="s">
        <v>1799</v>
      </c>
      <c r="M2592" t="s">
        <v>1799</v>
      </c>
      <c r="N2592" t="s">
        <v>1799</v>
      </c>
      <c r="O2592" s="184" t="str">
        <f>"["&amp;$C2592&amp;"]["&amp;$D2592&amp;"]["&amp;$F2592&amp;"]"</f>
        <v>[S13_AnyOtherIssues][53][OtherInformationOrIssues]</v>
      </c>
    </row>
    <row r="2593" spans="1:15" x14ac:dyDescent="0.3">
      <c r="A2593" t="s">
        <v>1793</v>
      </c>
      <c r="B2593" t="s">
        <v>2478</v>
      </c>
      <c r="C2593" t="s">
        <v>2479</v>
      </c>
      <c r="D2593">
        <v>54</v>
      </c>
      <c r="E2593" t="s">
        <v>1447</v>
      </c>
      <c r="F2593" t="s">
        <v>2480</v>
      </c>
      <c r="G2593" t="s">
        <v>1869</v>
      </c>
      <c r="H2593" t="s">
        <v>1799</v>
      </c>
      <c r="I2593" t="s">
        <v>1799</v>
      </c>
      <c r="J2593" t="s">
        <v>1799</v>
      </c>
      <c r="K2593" t="s">
        <v>2501</v>
      </c>
      <c r="L2593" t="s">
        <v>1799</v>
      </c>
      <c r="M2593" t="s">
        <v>1799</v>
      </c>
      <c r="N2593" t="s">
        <v>1799</v>
      </c>
      <c r="O2593" s="184" t="str">
        <f>"["&amp;$C2593&amp;"]["&amp;$D2593&amp;"]["&amp;$F2593&amp;"]"</f>
        <v>[S13_AnyOtherIssues][54][OtherInformationOrIssues]</v>
      </c>
    </row>
    <row r="2594" spans="1:15" x14ac:dyDescent="0.3">
      <c r="A2594" t="s">
        <v>1793</v>
      </c>
      <c r="B2594" t="s">
        <v>2478</v>
      </c>
      <c r="C2594" t="s">
        <v>2479</v>
      </c>
      <c r="D2594">
        <v>55</v>
      </c>
      <c r="E2594" t="s">
        <v>1447</v>
      </c>
      <c r="F2594" t="s">
        <v>2480</v>
      </c>
      <c r="G2594" t="s">
        <v>1869</v>
      </c>
      <c r="H2594" t="s">
        <v>1799</v>
      </c>
      <c r="I2594" t="s">
        <v>1799</v>
      </c>
      <c r="J2594" t="s">
        <v>1799</v>
      </c>
      <c r="K2594" t="s">
        <v>2501</v>
      </c>
      <c r="L2594" t="s">
        <v>1799</v>
      </c>
      <c r="M2594" t="s">
        <v>1799</v>
      </c>
      <c r="N2594" t="s">
        <v>1799</v>
      </c>
      <c r="O2594" s="184" t="str">
        <f>"["&amp;$C2594&amp;"]["&amp;$D2594&amp;"]["&amp;$F2594&amp;"]"</f>
        <v>[S13_AnyOtherIssues][55][OtherInformationOrIssues]</v>
      </c>
    </row>
    <row r="2595" spans="1:15" x14ac:dyDescent="0.3">
      <c r="A2595" t="s">
        <v>1793</v>
      </c>
      <c r="B2595" t="s">
        <v>2478</v>
      </c>
      <c r="C2595" t="s">
        <v>2479</v>
      </c>
      <c r="D2595">
        <v>56</v>
      </c>
      <c r="E2595" t="s">
        <v>1447</v>
      </c>
      <c r="F2595" t="s">
        <v>2480</v>
      </c>
      <c r="G2595" t="s">
        <v>1869</v>
      </c>
      <c r="H2595" t="s">
        <v>1799</v>
      </c>
      <c r="I2595" t="s">
        <v>1799</v>
      </c>
      <c r="J2595" t="s">
        <v>1799</v>
      </c>
      <c r="K2595" t="s">
        <v>2502</v>
      </c>
      <c r="L2595" t="s">
        <v>1799</v>
      </c>
      <c r="M2595" t="s">
        <v>1799</v>
      </c>
      <c r="N2595" t="s">
        <v>1799</v>
      </c>
      <c r="O2595" s="184" t="str">
        <f>"["&amp;$C2595&amp;"]["&amp;$D2595&amp;"]["&amp;$F2595&amp;"]"</f>
        <v>[S13_AnyOtherIssues][56][OtherInformationOrIssues]</v>
      </c>
    </row>
    <row r="2596" spans="1:15" x14ac:dyDescent="0.3">
      <c r="A2596" t="s">
        <v>1793</v>
      </c>
      <c r="B2596" t="s">
        <v>2478</v>
      </c>
      <c r="C2596" t="s">
        <v>2479</v>
      </c>
      <c r="D2596">
        <v>57</v>
      </c>
      <c r="E2596" t="s">
        <v>1447</v>
      </c>
      <c r="F2596" t="s">
        <v>2480</v>
      </c>
      <c r="G2596" t="s">
        <v>1869</v>
      </c>
      <c r="H2596" t="s">
        <v>1799</v>
      </c>
      <c r="I2596" t="s">
        <v>1799</v>
      </c>
      <c r="J2596" t="s">
        <v>1799</v>
      </c>
      <c r="K2596" t="s">
        <v>2503</v>
      </c>
      <c r="L2596" t="s">
        <v>1799</v>
      </c>
      <c r="M2596" t="s">
        <v>1799</v>
      </c>
      <c r="N2596" t="s">
        <v>1799</v>
      </c>
      <c r="O2596" s="184" t="str">
        <f>"["&amp;$C2596&amp;"]["&amp;$D2596&amp;"]["&amp;$F2596&amp;"]"</f>
        <v>[S13_AnyOtherIssues][57][OtherInformationOrIssues]</v>
      </c>
    </row>
    <row r="2597" spans="1:15" x14ac:dyDescent="0.3">
      <c r="A2597" t="s">
        <v>1793</v>
      </c>
      <c r="B2597" t="s">
        <v>2478</v>
      </c>
      <c r="C2597" t="s">
        <v>2479</v>
      </c>
      <c r="D2597">
        <v>68</v>
      </c>
      <c r="E2597" t="s">
        <v>1447</v>
      </c>
      <c r="F2597" t="s">
        <v>2480</v>
      </c>
      <c r="G2597" t="s">
        <v>1869</v>
      </c>
      <c r="H2597" t="s">
        <v>1799</v>
      </c>
      <c r="I2597" t="s">
        <v>1799</v>
      </c>
      <c r="J2597" t="s">
        <v>1799</v>
      </c>
      <c r="K2597" t="s">
        <v>2504</v>
      </c>
      <c r="L2597" t="s">
        <v>1799</v>
      </c>
      <c r="M2597" t="s">
        <v>1799</v>
      </c>
      <c r="N2597" t="s">
        <v>1799</v>
      </c>
      <c r="O2597" s="184" t="str">
        <f>"["&amp;$C2597&amp;"]["&amp;$D2597&amp;"]["&amp;$F2597&amp;"]"</f>
        <v>[S13_AnyOtherIssues][68][OtherInformationOrIssues]</v>
      </c>
    </row>
    <row r="2598" spans="1:15" x14ac:dyDescent="0.3">
      <c r="A2598" t="s">
        <v>1793</v>
      </c>
      <c r="B2598" t="s">
        <v>2478</v>
      </c>
      <c r="C2598" t="s">
        <v>2479</v>
      </c>
      <c r="D2598">
        <v>69</v>
      </c>
      <c r="E2598" t="s">
        <v>1447</v>
      </c>
      <c r="F2598" t="s">
        <v>2480</v>
      </c>
      <c r="G2598" t="s">
        <v>1869</v>
      </c>
      <c r="H2598" t="s">
        <v>1799</v>
      </c>
      <c r="I2598" t="s">
        <v>1799</v>
      </c>
      <c r="J2598" t="s">
        <v>1799</v>
      </c>
      <c r="K2598" t="s">
        <v>2505</v>
      </c>
      <c r="L2598" t="s">
        <v>1799</v>
      </c>
      <c r="M2598" t="s">
        <v>1799</v>
      </c>
      <c r="N2598" t="s">
        <v>1799</v>
      </c>
      <c r="O2598" s="184" t="str">
        <f>"["&amp;$C2598&amp;"]["&amp;$D2598&amp;"]["&amp;$F2598&amp;"]"</f>
        <v>[S13_AnyOtherIssues][69][OtherInformationOrIssues]</v>
      </c>
    </row>
    <row r="2599" spans="1:15" x14ac:dyDescent="0.3">
      <c r="A2599" t="s">
        <v>1793</v>
      </c>
      <c r="B2599" t="s">
        <v>2478</v>
      </c>
      <c r="C2599" t="s">
        <v>2479</v>
      </c>
      <c r="D2599">
        <v>71</v>
      </c>
      <c r="E2599" t="s">
        <v>1447</v>
      </c>
      <c r="F2599" t="s">
        <v>2480</v>
      </c>
      <c r="G2599" t="s">
        <v>1869</v>
      </c>
      <c r="H2599" t="s">
        <v>1799</v>
      </c>
      <c r="I2599" t="s">
        <v>1799</v>
      </c>
      <c r="J2599" t="s">
        <v>1799</v>
      </c>
      <c r="K2599" t="s">
        <v>2506</v>
      </c>
      <c r="L2599" t="s">
        <v>1799</v>
      </c>
      <c r="M2599" t="s">
        <v>1799</v>
      </c>
      <c r="N2599" t="s">
        <v>1799</v>
      </c>
      <c r="O2599" s="184" t="str">
        <f>"["&amp;$C2599&amp;"]["&amp;$D2599&amp;"]["&amp;$F2599&amp;"]"</f>
        <v>[S13_AnyOtherIssues][71][OtherInformationOrIssues]</v>
      </c>
    </row>
    <row r="2600" spans="1:15" x14ac:dyDescent="0.3">
      <c r="A2600" t="s">
        <v>1793</v>
      </c>
      <c r="B2600" t="s">
        <v>2478</v>
      </c>
      <c r="C2600" t="s">
        <v>2479</v>
      </c>
      <c r="D2600">
        <v>80</v>
      </c>
      <c r="E2600" t="s">
        <v>1447</v>
      </c>
      <c r="F2600" t="s">
        <v>2480</v>
      </c>
      <c r="G2600" t="s">
        <v>1869</v>
      </c>
      <c r="H2600" t="s">
        <v>1799</v>
      </c>
      <c r="I2600" t="s">
        <v>1799</v>
      </c>
      <c r="J2600" t="s">
        <v>1799</v>
      </c>
      <c r="K2600" t="s">
        <v>2507</v>
      </c>
      <c r="L2600" t="s">
        <v>1799</v>
      </c>
      <c r="M2600" t="s">
        <v>1799</v>
      </c>
      <c r="N2600" t="s">
        <v>1799</v>
      </c>
      <c r="O2600" s="184" t="str">
        <f>"["&amp;$C2600&amp;"]["&amp;$D2600&amp;"]["&amp;$F2600&amp;"]"</f>
        <v>[S13_AnyOtherIssues][80][OtherInformationOrIssues]</v>
      </c>
    </row>
    <row r="2601" spans="1:15" x14ac:dyDescent="0.3">
      <c r="A2601" t="s">
        <v>1793</v>
      </c>
      <c r="B2601" t="s">
        <v>2478</v>
      </c>
      <c r="C2601" t="s">
        <v>2479</v>
      </c>
      <c r="D2601">
        <v>81</v>
      </c>
      <c r="E2601" t="s">
        <v>1447</v>
      </c>
      <c r="F2601" t="s">
        <v>2480</v>
      </c>
      <c r="G2601" t="s">
        <v>1869</v>
      </c>
      <c r="H2601" t="s">
        <v>1799</v>
      </c>
      <c r="I2601" t="s">
        <v>1799</v>
      </c>
      <c r="J2601" t="s">
        <v>1799</v>
      </c>
      <c r="K2601" t="s">
        <v>2508</v>
      </c>
      <c r="L2601" t="s">
        <v>1799</v>
      </c>
      <c r="M2601" t="s">
        <v>1799</v>
      </c>
      <c r="N2601" t="s">
        <v>1799</v>
      </c>
      <c r="O2601" s="184" t="str">
        <f>"["&amp;$C2601&amp;"]["&amp;$D2601&amp;"]["&amp;$F2601&amp;"]"</f>
        <v>[S13_AnyOtherIssues][81][OtherInformationOrIssues]</v>
      </c>
    </row>
    <row r="2602" spans="1:15" x14ac:dyDescent="0.3">
      <c r="A2602" t="s">
        <v>1793</v>
      </c>
      <c r="B2602" t="s">
        <v>2478</v>
      </c>
      <c r="C2602" t="s">
        <v>2479</v>
      </c>
      <c r="D2602">
        <v>7</v>
      </c>
      <c r="E2602" t="s">
        <v>1447</v>
      </c>
      <c r="F2602" t="s">
        <v>2509</v>
      </c>
      <c r="G2602" t="s">
        <v>1737</v>
      </c>
      <c r="H2602" t="s">
        <v>1799</v>
      </c>
      <c r="I2602" t="s">
        <v>1799</v>
      </c>
      <c r="J2602" t="s">
        <v>1799</v>
      </c>
      <c r="K2602" t="s">
        <v>1799</v>
      </c>
      <c r="L2602" t="s">
        <v>1537</v>
      </c>
      <c r="M2602" t="s">
        <v>1799</v>
      </c>
      <c r="N2602" t="s">
        <v>1799</v>
      </c>
      <c r="O2602" s="184" t="str">
        <f>"["&amp;$C2602&amp;"]["&amp;$D2602&amp;"]["&amp;$F2602&amp;"]"</f>
        <v>[S13_AnyOtherIssues][7][QuestionnaireSubQuestion]</v>
      </c>
    </row>
    <row r="2603" spans="1:15" x14ac:dyDescent="0.3">
      <c r="A2603" t="s">
        <v>1793</v>
      </c>
      <c r="B2603" t="s">
        <v>2478</v>
      </c>
      <c r="C2603" t="s">
        <v>2479</v>
      </c>
      <c r="D2603">
        <v>10</v>
      </c>
      <c r="E2603" t="s">
        <v>1447</v>
      </c>
      <c r="F2603" t="s">
        <v>2509</v>
      </c>
      <c r="G2603" t="s">
        <v>1737</v>
      </c>
      <c r="H2603" t="s">
        <v>1799</v>
      </c>
      <c r="I2603" t="s">
        <v>1799</v>
      </c>
      <c r="J2603" t="s">
        <v>1799</v>
      </c>
      <c r="K2603" t="s">
        <v>1799</v>
      </c>
      <c r="L2603" t="s">
        <v>1572</v>
      </c>
      <c r="M2603" t="s">
        <v>1799</v>
      </c>
      <c r="N2603" t="s">
        <v>1799</v>
      </c>
      <c r="O2603" s="184" t="str">
        <f>"["&amp;$C2603&amp;"]["&amp;$D2603&amp;"]["&amp;$F2603&amp;"]"</f>
        <v>[S13_AnyOtherIssues][10][QuestionnaireSubQuestion]</v>
      </c>
    </row>
    <row r="2604" spans="1:15" x14ac:dyDescent="0.3">
      <c r="A2604" t="s">
        <v>1793</v>
      </c>
      <c r="B2604" t="s">
        <v>2478</v>
      </c>
      <c r="C2604" t="s">
        <v>2479</v>
      </c>
      <c r="D2604">
        <v>12</v>
      </c>
      <c r="E2604" t="s">
        <v>1447</v>
      </c>
      <c r="F2604" t="s">
        <v>2509</v>
      </c>
      <c r="G2604" t="s">
        <v>1737</v>
      </c>
      <c r="H2604" t="s">
        <v>1799</v>
      </c>
      <c r="I2604" t="s">
        <v>1799</v>
      </c>
      <c r="J2604" t="s">
        <v>1799</v>
      </c>
      <c r="K2604" t="s">
        <v>1799</v>
      </c>
      <c r="L2604" t="s">
        <v>1601</v>
      </c>
      <c r="M2604" t="s">
        <v>1799</v>
      </c>
      <c r="N2604" t="s">
        <v>1799</v>
      </c>
      <c r="O2604" s="184" t="str">
        <f>"["&amp;$C2604&amp;"]["&amp;$D2604&amp;"]["&amp;$F2604&amp;"]"</f>
        <v>[S13_AnyOtherIssues][12][QuestionnaireSubQuestion]</v>
      </c>
    </row>
    <row r="2605" spans="1:15" x14ac:dyDescent="0.3">
      <c r="A2605" t="s">
        <v>1793</v>
      </c>
      <c r="B2605" t="s">
        <v>2478</v>
      </c>
      <c r="C2605" t="s">
        <v>2479</v>
      </c>
      <c r="D2605">
        <v>13</v>
      </c>
      <c r="E2605" t="s">
        <v>1447</v>
      </c>
      <c r="F2605" t="s">
        <v>2509</v>
      </c>
      <c r="G2605" t="s">
        <v>1737</v>
      </c>
      <c r="H2605" t="s">
        <v>1799</v>
      </c>
      <c r="I2605" t="s">
        <v>1799</v>
      </c>
      <c r="J2605" t="s">
        <v>1799</v>
      </c>
      <c r="K2605" t="s">
        <v>1799</v>
      </c>
      <c r="L2605" t="s">
        <v>1606</v>
      </c>
      <c r="M2605" t="s">
        <v>1799</v>
      </c>
      <c r="N2605" t="s">
        <v>1799</v>
      </c>
      <c r="O2605" s="184" t="str">
        <f>"["&amp;$C2605&amp;"]["&amp;$D2605&amp;"]["&amp;$F2605&amp;"]"</f>
        <v>[S13_AnyOtherIssues][13][QuestionnaireSubQuestion]</v>
      </c>
    </row>
    <row r="2606" spans="1:15" x14ac:dyDescent="0.3">
      <c r="A2606" t="s">
        <v>1793</v>
      </c>
      <c r="B2606" t="s">
        <v>2478</v>
      </c>
      <c r="C2606" t="s">
        <v>2479</v>
      </c>
      <c r="D2606">
        <v>14</v>
      </c>
      <c r="E2606" t="s">
        <v>1447</v>
      </c>
      <c r="F2606" t="s">
        <v>2509</v>
      </c>
      <c r="G2606" t="s">
        <v>1737</v>
      </c>
      <c r="H2606" t="s">
        <v>1799</v>
      </c>
      <c r="I2606" t="s">
        <v>1799</v>
      </c>
      <c r="J2606" t="s">
        <v>1799</v>
      </c>
      <c r="K2606" t="s">
        <v>1799</v>
      </c>
      <c r="L2606" t="s">
        <v>1611</v>
      </c>
      <c r="M2606" t="s">
        <v>1799</v>
      </c>
      <c r="N2606" t="s">
        <v>1799</v>
      </c>
      <c r="O2606" s="184" t="str">
        <f>"["&amp;$C2606&amp;"]["&amp;$D2606&amp;"]["&amp;$F2606&amp;"]"</f>
        <v>[S13_AnyOtherIssues][14][QuestionnaireSubQuestion]</v>
      </c>
    </row>
    <row r="2607" spans="1:15" x14ac:dyDescent="0.3">
      <c r="A2607" t="s">
        <v>1793</v>
      </c>
      <c r="B2607" t="s">
        <v>2478</v>
      </c>
      <c r="C2607" t="s">
        <v>2479</v>
      </c>
      <c r="D2607">
        <v>15</v>
      </c>
      <c r="E2607" t="s">
        <v>1447</v>
      </c>
      <c r="F2607" t="s">
        <v>2509</v>
      </c>
      <c r="G2607" t="s">
        <v>1737</v>
      </c>
      <c r="H2607" t="s">
        <v>1799</v>
      </c>
      <c r="I2607" t="s">
        <v>1799</v>
      </c>
      <c r="J2607" t="s">
        <v>1799</v>
      </c>
      <c r="K2607" t="s">
        <v>1799</v>
      </c>
      <c r="L2607" t="s">
        <v>1616</v>
      </c>
      <c r="M2607" t="s">
        <v>1799</v>
      </c>
      <c r="N2607" t="s">
        <v>1799</v>
      </c>
      <c r="O2607" s="184" t="str">
        <f>"["&amp;$C2607&amp;"]["&amp;$D2607&amp;"]["&amp;$F2607&amp;"]"</f>
        <v>[S13_AnyOtherIssues][15][QuestionnaireSubQuestion]</v>
      </c>
    </row>
    <row r="2608" spans="1:15" x14ac:dyDescent="0.3">
      <c r="A2608" t="s">
        <v>1793</v>
      </c>
      <c r="B2608" t="s">
        <v>2478</v>
      </c>
      <c r="C2608" t="s">
        <v>2479</v>
      </c>
      <c r="D2608">
        <v>16</v>
      </c>
      <c r="E2608" t="s">
        <v>1447</v>
      </c>
      <c r="F2608" t="s">
        <v>2509</v>
      </c>
      <c r="G2608" t="s">
        <v>1737</v>
      </c>
      <c r="H2608" t="s">
        <v>1799</v>
      </c>
      <c r="I2608" t="s">
        <v>1799</v>
      </c>
      <c r="J2608" t="s">
        <v>1799</v>
      </c>
      <c r="K2608" t="s">
        <v>1799</v>
      </c>
      <c r="L2608" t="s">
        <v>1621</v>
      </c>
      <c r="M2608" t="s">
        <v>1799</v>
      </c>
      <c r="N2608" t="s">
        <v>1799</v>
      </c>
      <c r="O2608" s="184" t="str">
        <f>"["&amp;$C2608&amp;"]["&amp;$D2608&amp;"]["&amp;$F2608&amp;"]"</f>
        <v>[S13_AnyOtherIssues][16][QuestionnaireSubQuestion]</v>
      </c>
    </row>
    <row r="2609" spans="1:15" x14ac:dyDescent="0.3">
      <c r="A2609" t="s">
        <v>1793</v>
      </c>
      <c r="B2609" t="s">
        <v>2478</v>
      </c>
      <c r="C2609" t="s">
        <v>2479</v>
      </c>
      <c r="D2609">
        <v>17</v>
      </c>
      <c r="E2609" t="s">
        <v>1447</v>
      </c>
      <c r="F2609" t="s">
        <v>2509</v>
      </c>
      <c r="G2609" t="s">
        <v>1737</v>
      </c>
      <c r="H2609" t="s">
        <v>1799</v>
      </c>
      <c r="I2609" t="s">
        <v>1799</v>
      </c>
      <c r="J2609" t="s">
        <v>1799</v>
      </c>
      <c r="K2609" t="s">
        <v>1799</v>
      </c>
      <c r="L2609" t="s">
        <v>1581</v>
      </c>
      <c r="M2609" t="s">
        <v>1799</v>
      </c>
      <c r="N2609" t="s">
        <v>1799</v>
      </c>
      <c r="O2609" s="184" t="str">
        <f>"["&amp;$C2609&amp;"]["&amp;$D2609&amp;"]["&amp;$F2609&amp;"]"</f>
        <v>[S13_AnyOtherIssues][17][QuestionnaireSubQuestion]</v>
      </c>
    </row>
    <row r="2610" spans="1:15" x14ac:dyDescent="0.3">
      <c r="A2610" t="s">
        <v>1793</v>
      </c>
      <c r="B2610" t="s">
        <v>2478</v>
      </c>
      <c r="C2610" t="s">
        <v>2479</v>
      </c>
      <c r="D2610">
        <v>18</v>
      </c>
      <c r="E2610" t="s">
        <v>1447</v>
      </c>
      <c r="F2610" t="s">
        <v>2509</v>
      </c>
      <c r="G2610" t="s">
        <v>1737</v>
      </c>
      <c r="H2610" t="s">
        <v>1799</v>
      </c>
      <c r="I2610" t="s">
        <v>1799</v>
      </c>
      <c r="J2610" t="s">
        <v>1799</v>
      </c>
      <c r="K2610" t="s">
        <v>1799</v>
      </c>
      <c r="L2610" t="s">
        <v>1635</v>
      </c>
      <c r="M2610" t="s">
        <v>1799</v>
      </c>
      <c r="N2610" t="s">
        <v>1799</v>
      </c>
      <c r="O2610" s="184" t="str">
        <f>"["&amp;$C2610&amp;"]["&amp;$D2610&amp;"]["&amp;$F2610&amp;"]"</f>
        <v>[S13_AnyOtherIssues][18][QuestionnaireSubQuestion]</v>
      </c>
    </row>
    <row r="2611" spans="1:15" x14ac:dyDescent="0.3">
      <c r="A2611" t="s">
        <v>1793</v>
      </c>
      <c r="B2611" t="s">
        <v>2478</v>
      </c>
      <c r="C2611" t="s">
        <v>2479</v>
      </c>
      <c r="D2611">
        <v>19</v>
      </c>
      <c r="E2611" t="s">
        <v>1447</v>
      </c>
      <c r="F2611" t="s">
        <v>2509</v>
      </c>
      <c r="G2611" t="s">
        <v>1737</v>
      </c>
      <c r="H2611" t="s">
        <v>1799</v>
      </c>
      <c r="I2611" t="s">
        <v>1799</v>
      </c>
      <c r="J2611" t="s">
        <v>1799</v>
      </c>
      <c r="K2611" t="s">
        <v>1799</v>
      </c>
      <c r="L2611" t="s">
        <v>1667</v>
      </c>
      <c r="M2611" t="s">
        <v>1799</v>
      </c>
      <c r="N2611" t="s">
        <v>1799</v>
      </c>
      <c r="O2611" s="184" t="str">
        <f>"["&amp;$C2611&amp;"]["&amp;$D2611&amp;"]["&amp;$F2611&amp;"]"</f>
        <v>[S13_AnyOtherIssues][19][QuestionnaireSubQuestion]</v>
      </c>
    </row>
    <row r="2612" spans="1:15" x14ac:dyDescent="0.3">
      <c r="A2612" t="s">
        <v>1793</v>
      </c>
      <c r="B2612" t="s">
        <v>2478</v>
      </c>
      <c r="C2612" t="s">
        <v>2479</v>
      </c>
      <c r="D2612">
        <v>35</v>
      </c>
      <c r="E2612" t="s">
        <v>1447</v>
      </c>
      <c r="F2612" t="s">
        <v>2509</v>
      </c>
      <c r="G2612" t="s">
        <v>1737</v>
      </c>
      <c r="H2612" t="s">
        <v>1799</v>
      </c>
      <c r="I2612" t="s">
        <v>1799</v>
      </c>
      <c r="J2612" t="s">
        <v>1799</v>
      </c>
      <c r="K2612" t="s">
        <v>1799</v>
      </c>
      <c r="L2612" t="s">
        <v>1679</v>
      </c>
      <c r="M2612" t="s">
        <v>1799</v>
      </c>
      <c r="N2612" t="s">
        <v>1799</v>
      </c>
      <c r="O2612" s="184" t="str">
        <f>"["&amp;$C2612&amp;"]["&amp;$D2612&amp;"]["&amp;$F2612&amp;"]"</f>
        <v>[S13_AnyOtherIssues][35][QuestionnaireSubQuestion]</v>
      </c>
    </row>
    <row r="2613" spans="1:15" x14ac:dyDescent="0.3">
      <c r="A2613" t="s">
        <v>1793</v>
      </c>
      <c r="B2613" t="s">
        <v>2478</v>
      </c>
      <c r="C2613" t="s">
        <v>2479</v>
      </c>
      <c r="D2613">
        <v>36</v>
      </c>
      <c r="E2613" t="s">
        <v>1447</v>
      </c>
      <c r="F2613" t="s">
        <v>2509</v>
      </c>
      <c r="G2613" t="s">
        <v>1737</v>
      </c>
      <c r="H2613" t="s">
        <v>1799</v>
      </c>
      <c r="I2613" t="s">
        <v>1799</v>
      </c>
      <c r="J2613" t="s">
        <v>1799</v>
      </c>
      <c r="K2613" t="s">
        <v>1799</v>
      </c>
      <c r="L2613" t="s">
        <v>1680</v>
      </c>
      <c r="M2613" t="s">
        <v>1799</v>
      </c>
      <c r="N2613" t="s">
        <v>1799</v>
      </c>
      <c r="O2613" s="184" t="str">
        <f>"["&amp;$C2613&amp;"]["&amp;$D2613&amp;"]["&amp;$F2613&amp;"]"</f>
        <v>[S13_AnyOtherIssues][36][QuestionnaireSubQuestion]</v>
      </c>
    </row>
    <row r="2614" spans="1:15" x14ac:dyDescent="0.3">
      <c r="A2614" t="s">
        <v>1793</v>
      </c>
      <c r="B2614" t="s">
        <v>2478</v>
      </c>
      <c r="C2614" t="s">
        <v>2479</v>
      </c>
      <c r="D2614">
        <v>37</v>
      </c>
      <c r="E2614" t="s">
        <v>1447</v>
      </c>
      <c r="F2614" t="s">
        <v>2509</v>
      </c>
      <c r="G2614" t="s">
        <v>1737</v>
      </c>
      <c r="H2614" t="s">
        <v>1799</v>
      </c>
      <c r="I2614" t="s">
        <v>1799</v>
      </c>
      <c r="J2614" t="s">
        <v>1799</v>
      </c>
      <c r="K2614" t="s">
        <v>1799</v>
      </c>
      <c r="L2614" t="s">
        <v>1681</v>
      </c>
      <c r="M2614" t="s">
        <v>1799</v>
      </c>
      <c r="N2614" t="s">
        <v>1799</v>
      </c>
      <c r="O2614" s="184" t="str">
        <f>"["&amp;$C2614&amp;"]["&amp;$D2614&amp;"]["&amp;$F2614&amp;"]"</f>
        <v>[S13_AnyOtherIssues][37][QuestionnaireSubQuestion]</v>
      </c>
    </row>
    <row r="2615" spans="1:15" x14ac:dyDescent="0.3">
      <c r="A2615" t="s">
        <v>1793</v>
      </c>
      <c r="B2615" t="s">
        <v>2478</v>
      </c>
      <c r="C2615" t="s">
        <v>2479</v>
      </c>
      <c r="D2615">
        <v>38</v>
      </c>
      <c r="E2615" t="s">
        <v>1447</v>
      </c>
      <c r="F2615" t="s">
        <v>2509</v>
      </c>
      <c r="G2615" t="s">
        <v>1737</v>
      </c>
      <c r="H2615" t="s">
        <v>1799</v>
      </c>
      <c r="I2615" t="s">
        <v>1799</v>
      </c>
      <c r="J2615" t="s">
        <v>1799</v>
      </c>
      <c r="K2615" t="s">
        <v>1799</v>
      </c>
      <c r="L2615" t="s">
        <v>1682</v>
      </c>
      <c r="M2615" t="s">
        <v>1799</v>
      </c>
      <c r="N2615" t="s">
        <v>1799</v>
      </c>
      <c r="O2615" s="184" t="str">
        <f>"["&amp;$C2615&amp;"]["&amp;$D2615&amp;"]["&amp;$F2615&amp;"]"</f>
        <v>[S13_AnyOtherIssues][38][QuestionnaireSubQuestion]</v>
      </c>
    </row>
    <row r="2616" spans="1:15" x14ac:dyDescent="0.3">
      <c r="A2616" t="s">
        <v>1793</v>
      </c>
      <c r="B2616" t="s">
        <v>2478</v>
      </c>
      <c r="C2616" t="s">
        <v>2479</v>
      </c>
      <c r="D2616">
        <v>39</v>
      </c>
      <c r="E2616" t="s">
        <v>1447</v>
      </c>
      <c r="F2616" t="s">
        <v>2509</v>
      </c>
      <c r="G2616" t="s">
        <v>1737</v>
      </c>
      <c r="H2616" t="s">
        <v>1799</v>
      </c>
      <c r="I2616" t="s">
        <v>1799</v>
      </c>
      <c r="J2616" t="s">
        <v>1799</v>
      </c>
      <c r="K2616" t="s">
        <v>1799</v>
      </c>
      <c r="L2616" t="s">
        <v>1683</v>
      </c>
      <c r="M2616" t="s">
        <v>1799</v>
      </c>
      <c r="N2616" t="s">
        <v>1799</v>
      </c>
      <c r="O2616" s="184" t="str">
        <f>"["&amp;$C2616&amp;"]["&amp;$D2616&amp;"]["&amp;$F2616&amp;"]"</f>
        <v>[S13_AnyOtherIssues][39][QuestionnaireSubQuestion]</v>
      </c>
    </row>
    <row r="2617" spans="1:15" x14ac:dyDescent="0.3">
      <c r="A2617" t="s">
        <v>1793</v>
      </c>
      <c r="B2617" t="s">
        <v>2478</v>
      </c>
      <c r="C2617" t="s">
        <v>2479</v>
      </c>
      <c r="D2617">
        <v>40</v>
      </c>
      <c r="E2617" t="s">
        <v>1447</v>
      </c>
      <c r="F2617" t="s">
        <v>2509</v>
      </c>
      <c r="G2617" t="s">
        <v>1737</v>
      </c>
      <c r="H2617" t="s">
        <v>1799</v>
      </c>
      <c r="I2617" t="s">
        <v>1799</v>
      </c>
      <c r="J2617" t="s">
        <v>1799</v>
      </c>
      <c r="K2617" t="s">
        <v>1799</v>
      </c>
      <c r="L2617" t="s">
        <v>1686</v>
      </c>
      <c r="M2617" t="s">
        <v>1799</v>
      </c>
      <c r="N2617" t="s">
        <v>1799</v>
      </c>
      <c r="O2617" s="184" t="str">
        <f>"["&amp;$C2617&amp;"]["&amp;$D2617&amp;"]["&amp;$F2617&amp;"]"</f>
        <v>[S13_AnyOtherIssues][40][QuestionnaireSubQuestion]</v>
      </c>
    </row>
    <row r="2618" spans="1:15" x14ac:dyDescent="0.3">
      <c r="A2618" t="s">
        <v>1793</v>
      </c>
      <c r="B2618" t="s">
        <v>2478</v>
      </c>
      <c r="C2618" t="s">
        <v>2479</v>
      </c>
      <c r="D2618">
        <v>41</v>
      </c>
      <c r="E2618" t="s">
        <v>1447</v>
      </c>
      <c r="F2618" t="s">
        <v>2509</v>
      </c>
      <c r="G2618" t="s">
        <v>1737</v>
      </c>
      <c r="H2618" t="s">
        <v>1799</v>
      </c>
      <c r="I2618" t="s">
        <v>1799</v>
      </c>
      <c r="J2618" t="s">
        <v>1799</v>
      </c>
      <c r="K2618" t="s">
        <v>1799</v>
      </c>
      <c r="L2618" t="s">
        <v>1677</v>
      </c>
      <c r="M2618" t="s">
        <v>1799</v>
      </c>
      <c r="N2618" t="s">
        <v>1799</v>
      </c>
      <c r="O2618" s="184" t="str">
        <f>"["&amp;$C2618&amp;"]["&amp;$D2618&amp;"]["&amp;$F2618&amp;"]"</f>
        <v>[S13_AnyOtherIssues][41][QuestionnaireSubQuestion]</v>
      </c>
    </row>
    <row r="2619" spans="1:15" x14ac:dyDescent="0.3">
      <c r="A2619" t="s">
        <v>1793</v>
      </c>
      <c r="B2619" t="s">
        <v>2478</v>
      </c>
      <c r="C2619" t="s">
        <v>2479</v>
      </c>
      <c r="D2619">
        <v>47</v>
      </c>
      <c r="E2619" t="s">
        <v>1447</v>
      </c>
      <c r="F2619" t="s">
        <v>2509</v>
      </c>
      <c r="G2619" t="s">
        <v>1737</v>
      </c>
      <c r="H2619" t="s">
        <v>1799</v>
      </c>
      <c r="I2619" t="s">
        <v>1799</v>
      </c>
      <c r="J2619" t="s">
        <v>1799</v>
      </c>
      <c r="K2619" t="s">
        <v>1799</v>
      </c>
      <c r="L2619" t="s">
        <v>1688</v>
      </c>
      <c r="M2619" t="s">
        <v>1799</v>
      </c>
      <c r="N2619" t="s">
        <v>1799</v>
      </c>
      <c r="O2619" s="184" t="str">
        <f>"["&amp;$C2619&amp;"]["&amp;$D2619&amp;"]["&amp;$F2619&amp;"]"</f>
        <v>[S13_AnyOtherIssues][47][QuestionnaireSubQuestion]</v>
      </c>
    </row>
    <row r="2620" spans="1:15" x14ac:dyDescent="0.3">
      <c r="A2620" t="s">
        <v>1793</v>
      </c>
      <c r="B2620" t="s">
        <v>2478</v>
      </c>
      <c r="C2620" t="s">
        <v>2479</v>
      </c>
      <c r="D2620">
        <v>50</v>
      </c>
      <c r="E2620" t="s">
        <v>1447</v>
      </c>
      <c r="F2620" t="s">
        <v>2509</v>
      </c>
      <c r="G2620" t="s">
        <v>1737</v>
      </c>
      <c r="H2620" t="s">
        <v>1799</v>
      </c>
      <c r="I2620" t="s">
        <v>1799</v>
      </c>
      <c r="J2620" t="s">
        <v>1799</v>
      </c>
      <c r="K2620" t="s">
        <v>1799</v>
      </c>
      <c r="L2620" t="s">
        <v>1698</v>
      </c>
      <c r="M2620" t="s">
        <v>1799</v>
      </c>
      <c r="N2620" t="s">
        <v>1799</v>
      </c>
      <c r="O2620" s="184" t="str">
        <f>"["&amp;$C2620&amp;"]["&amp;$D2620&amp;"]["&amp;$F2620&amp;"]"</f>
        <v>[S13_AnyOtherIssues][50][QuestionnaireSubQuestion]</v>
      </c>
    </row>
    <row r="2621" spans="1:15" x14ac:dyDescent="0.3">
      <c r="A2621" t="s">
        <v>1793</v>
      </c>
      <c r="B2621" t="s">
        <v>2478</v>
      </c>
      <c r="C2621" t="s">
        <v>2479</v>
      </c>
      <c r="D2621">
        <v>51</v>
      </c>
      <c r="E2621" t="s">
        <v>1447</v>
      </c>
      <c r="F2621" t="s">
        <v>2509</v>
      </c>
      <c r="G2621" t="s">
        <v>1737</v>
      </c>
      <c r="H2621" t="s">
        <v>1799</v>
      </c>
      <c r="I2621" t="s">
        <v>1799</v>
      </c>
      <c r="J2621" t="s">
        <v>1799</v>
      </c>
      <c r="K2621" t="s">
        <v>1799</v>
      </c>
      <c r="L2621" t="s">
        <v>1699</v>
      </c>
      <c r="M2621" t="s">
        <v>1799</v>
      </c>
      <c r="N2621" t="s">
        <v>1799</v>
      </c>
      <c r="O2621" s="184" t="str">
        <f>"["&amp;$C2621&amp;"]["&amp;$D2621&amp;"]["&amp;$F2621&amp;"]"</f>
        <v>[S13_AnyOtherIssues][51][QuestionnaireSubQuestion]</v>
      </c>
    </row>
    <row r="2622" spans="1:15" x14ac:dyDescent="0.3">
      <c r="A2622" t="s">
        <v>1793</v>
      </c>
      <c r="B2622" t="s">
        <v>2478</v>
      </c>
      <c r="C2622" t="s">
        <v>2479</v>
      </c>
      <c r="D2622">
        <v>52</v>
      </c>
      <c r="E2622" t="s">
        <v>1447</v>
      </c>
      <c r="F2622" t="s">
        <v>2509</v>
      </c>
      <c r="G2622" t="s">
        <v>1737</v>
      </c>
      <c r="H2622" t="s">
        <v>1799</v>
      </c>
      <c r="I2622" t="s">
        <v>1799</v>
      </c>
      <c r="J2622" t="s">
        <v>1799</v>
      </c>
      <c r="K2622" t="s">
        <v>1799</v>
      </c>
      <c r="L2622" t="s">
        <v>1701</v>
      </c>
      <c r="M2622" t="s">
        <v>1799</v>
      </c>
      <c r="N2622" t="s">
        <v>1799</v>
      </c>
      <c r="O2622" s="184" t="str">
        <f>"["&amp;$C2622&amp;"]["&amp;$D2622&amp;"]["&amp;$F2622&amp;"]"</f>
        <v>[S13_AnyOtherIssues][52][QuestionnaireSubQuestion]</v>
      </c>
    </row>
    <row r="2623" spans="1:15" x14ac:dyDescent="0.3">
      <c r="A2623" t="s">
        <v>1793</v>
      </c>
      <c r="B2623" t="s">
        <v>2478</v>
      </c>
      <c r="C2623" t="s">
        <v>2479</v>
      </c>
      <c r="D2623">
        <v>53</v>
      </c>
      <c r="E2623" t="s">
        <v>1447</v>
      </c>
      <c r="F2623" t="s">
        <v>2509</v>
      </c>
      <c r="G2623" t="s">
        <v>1737</v>
      </c>
      <c r="H2623" t="s">
        <v>1799</v>
      </c>
      <c r="I2623" t="s">
        <v>1799</v>
      </c>
      <c r="J2623" t="s">
        <v>1799</v>
      </c>
      <c r="K2623" t="s">
        <v>1799</v>
      </c>
      <c r="L2623" t="s">
        <v>1702</v>
      </c>
      <c r="M2623" t="s">
        <v>1799</v>
      </c>
      <c r="N2623" t="s">
        <v>1799</v>
      </c>
      <c r="O2623" s="184" t="str">
        <f>"["&amp;$C2623&amp;"]["&amp;$D2623&amp;"]["&amp;$F2623&amp;"]"</f>
        <v>[S13_AnyOtherIssues][53][QuestionnaireSubQuestion]</v>
      </c>
    </row>
    <row r="2624" spans="1:15" x14ac:dyDescent="0.3">
      <c r="A2624" t="s">
        <v>1793</v>
      </c>
      <c r="B2624" t="s">
        <v>2478</v>
      </c>
      <c r="C2624" t="s">
        <v>2479</v>
      </c>
      <c r="D2624">
        <v>54</v>
      </c>
      <c r="E2624" t="s">
        <v>1447</v>
      </c>
      <c r="F2624" t="s">
        <v>2509</v>
      </c>
      <c r="G2624" t="s">
        <v>1737</v>
      </c>
      <c r="H2624" t="s">
        <v>1799</v>
      </c>
      <c r="I2624" t="s">
        <v>1799</v>
      </c>
      <c r="J2624" t="s">
        <v>1799</v>
      </c>
      <c r="K2624" t="s">
        <v>1799</v>
      </c>
      <c r="L2624" t="s">
        <v>1704</v>
      </c>
      <c r="M2624" t="s">
        <v>1799</v>
      </c>
      <c r="N2624" t="s">
        <v>1799</v>
      </c>
      <c r="O2624" s="184" t="str">
        <f>"["&amp;$C2624&amp;"]["&amp;$D2624&amp;"]["&amp;$F2624&amp;"]"</f>
        <v>[S13_AnyOtherIssues][54][QuestionnaireSubQuestion]</v>
      </c>
    </row>
    <row r="2625" spans="1:15" x14ac:dyDescent="0.3">
      <c r="A2625" t="s">
        <v>1793</v>
      </c>
      <c r="B2625" t="s">
        <v>2478</v>
      </c>
      <c r="C2625" t="s">
        <v>2479</v>
      </c>
      <c r="D2625">
        <v>55</v>
      </c>
      <c r="E2625" t="s">
        <v>1447</v>
      </c>
      <c r="F2625" t="s">
        <v>2509</v>
      </c>
      <c r="G2625" t="s">
        <v>1737</v>
      </c>
      <c r="H2625" t="s">
        <v>1799</v>
      </c>
      <c r="I2625" t="s">
        <v>1799</v>
      </c>
      <c r="J2625" t="s">
        <v>1799</v>
      </c>
      <c r="K2625" t="s">
        <v>1799</v>
      </c>
      <c r="L2625" t="s">
        <v>1705</v>
      </c>
      <c r="M2625" t="s">
        <v>1799</v>
      </c>
      <c r="N2625" t="s">
        <v>1799</v>
      </c>
      <c r="O2625" s="184" t="str">
        <f>"["&amp;$C2625&amp;"]["&amp;$D2625&amp;"]["&amp;$F2625&amp;"]"</f>
        <v>[S13_AnyOtherIssues][55][QuestionnaireSubQuestion]</v>
      </c>
    </row>
    <row r="2626" spans="1:15" x14ac:dyDescent="0.3">
      <c r="A2626" t="s">
        <v>1793</v>
      </c>
      <c r="B2626" t="s">
        <v>2478</v>
      </c>
      <c r="C2626" t="s">
        <v>2479</v>
      </c>
      <c r="D2626">
        <v>56</v>
      </c>
      <c r="E2626" t="s">
        <v>1447</v>
      </c>
      <c r="F2626" t="s">
        <v>2509</v>
      </c>
      <c r="G2626" t="s">
        <v>1737</v>
      </c>
      <c r="H2626" t="s">
        <v>1799</v>
      </c>
      <c r="I2626" t="s">
        <v>1799</v>
      </c>
      <c r="J2626" t="s">
        <v>1799</v>
      </c>
      <c r="K2626" t="s">
        <v>1799</v>
      </c>
      <c r="L2626" t="s">
        <v>1706</v>
      </c>
      <c r="M2626" t="s">
        <v>1799</v>
      </c>
      <c r="N2626" t="s">
        <v>1799</v>
      </c>
      <c r="O2626" s="184" t="str">
        <f>"["&amp;$C2626&amp;"]["&amp;$D2626&amp;"]["&amp;$F2626&amp;"]"</f>
        <v>[S13_AnyOtherIssues][56][QuestionnaireSubQuestion]</v>
      </c>
    </row>
    <row r="2627" spans="1:15" x14ac:dyDescent="0.3">
      <c r="A2627" t="s">
        <v>1793</v>
      </c>
      <c r="B2627" t="s">
        <v>2478</v>
      </c>
      <c r="C2627" t="s">
        <v>2479</v>
      </c>
      <c r="D2627">
        <v>57</v>
      </c>
      <c r="E2627" t="s">
        <v>1447</v>
      </c>
      <c r="F2627" t="s">
        <v>2509</v>
      </c>
      <c r="G2627" t="s">
        <v>1737</v>
      </c>
      <c r="H2627" t="s">
        <v>1799</v>
      </c>
      <c r="I2627" t="s">
        <v>1799</v>
      </c>
      <c r="J2627" t="s">
        <v>1799</v>
      </c>
      <c r="K2627" t="s">
        <v>1799</v>
      </c>
      <c r="L2627" t="s">
        <v>1707</v>
      </c>
      <c r="M2627" t="s">
        <v>1799</v>
      </c>
      <c r="N2627" t="s">
        <v>1799</v>
      </c>
      <c r="O2627" s="184" t="str">
        <f>"["&amp;$C2627&amp;"]["&amp;$D2627&amp;"]["&amp;$F2627&amp;"]"</f>
        <v>[S13_AnyOtherIssues][57][QuestionnaireSubQuestion]</v>
      </c>
    </row>
    <row r="2628" spans="1:15" x14ac:dyDescent="0.3">
      <c r="A2628" t="s">
        <v>1793</v>
      </c>
      <c r="B2628" t="s">
        <v>2478</v>
      </c>
      <c r="C2628" t="s">
        <v>2479</v>
      </c>
      <c r="D2628">
        <v>68</v>
      </c>
      <c r="E2628" t="s">
        <v>1447</v>
      </c>
      <c r="F2628" t="s">
        <v>2509</v>
      </c>
      <c r="G2628" t="s">
        <v>1737</v>
      </c>
      <c r="H2628" t="s">
        <v>1799</v>
      </c>
      <c r="I2628" t="s">
        <v>1799</v>
      </c>
      <c r="J2628" t="s">
        <v>1799</v>
      </c>
      <c r="K2628" t="s">
        <v>1799</v>
      </c>
      <c r="L2628" t="s">
        <v>1708</v>
      </c>
      <c r="M2628" t="s">
        <v>1799</v>
      </c>
      <c r="N2628" t="s">
        <v>1799</v>
      </c>
      <c r="O2628" s="184" t="str">
        <f>"["&amp;$C2628&amp;"]["&amp;$D2628&amp;"]["&amp;$F2628&amp;"]"</f>
        <v>[S13_AnyOtherIssues][68][QuestionnaireSubQuestion]</v>
      </c>
    </row>
    <row r="2629" spans="1:15" x14ac:dyDescent="0.3">
      <c r="A2629" t="s">
        <v>1793</v>
      </c>
      <c r="B2629" t="s">
        <v>2478</v>
      </c>
      <c r="C2629" t="s">
        <v>2479</v>
      </c>
      <c r="D2629">
        <v>69</v>
      </c>
      <c r="E2629" t="s">
        <v>1447</v>
      </c>
      <c r="F2629" t="s">
        <v>2509</v>
      </c>
      <c r="G2629" t="s">
        <v>1737</v>
      </c>
      <c r="H2629" t="s">
        <v>1799</v>
      </c>
      <c r="I2629" t="s">
        <v>1799</v>
      </c>
      <c r="J2629" t="s">
        <v>1799</v>
      </c>
      <c r="K2629" t="s">
        <v>1799</v>
      </c>
      <c r="L2629" t="s">
        <v>1710</v>
      </c>
      <c r="M2629" t="s">
        <v>1799</v>
      </c>
      <c r="N2629" t="s">
        <v>1799</v>
      </c>
      <c r="O2629" s="184" t="str">
        <f>"["&amp;$C2629&amp;"]["&amp;$D2629&amp;"]["&amp;$F2629&amp;"]"</f>
        <v>[S13_AnyOtherIssues][69][QuestionnaireSubQuestion]</v>
      </c>
    </row>
    <row r="2630" spans="1:15" x14ac:dyDescent="0.3">
      <c r="A2630" t="s">
        <v>1793</v>
      </c>
      <c r="B2630" t="s">
        <v>2478</v>
      </c>
      <c r="C2630" t="s">
        <v>2479</v>
      </c>
      <c r="D2630">
        <v>71</v>
      </c>
      <c r="E2630" t="s">
        <v>1447</v>
      </c>
      <c r="F2630" t="s">
        <v>2509</v>
      </c>
      <c r="G2630" t="s">
        <v>1737</v>
      </c>
      <c r="H2630" t="s">
        <v>1799</v>
      </c>
      <c r="I2630" t="s">
        <v>1799</v>
      </c>
      <c r="J2630" t="s">
        <v>1799</v>
      </c>
      <c r="K2630" t="s">
        <v>1799</v>
      </c>
      <c r="L2630" t="s">
        <v>1713</v>
      </c>
      <c r="M2630" t="s">
        <v>1799</v>
      </c>
      <c r="N2630" t="s">
        <v>1799</v>
      </c>
      <c r="O2630" s="184" t="str">
        <f>"["&amp;$C2630&amp;"]["&amp;$D2630&amp;"]["&amp;$F2630&amp;"]"</f>
        <v>[S13_AnyOtherIssues][71][QuestionnaireSubQuestion]</v>
      </c>
    </row>
    <row r="2631" spans="1:15" x14ac:dyDescent="0.3">
      <c r="A2631" t="s">
        <v>1793</v>
      </c>
      <c r="B2631" t="s">
        <v>2478</v>
      </c>
      <c r="C2631" t="s">
        <v>2479</v>
      </c>
      <c r="D2631">
        <v>80</v>
      </c>
      <c r="E2631" t="s">
        <v>1447</v>
      </c>
      <c r="F2631" t="s">
        <v>2509</v>
      </c>
      <c r="G2631" t="s">
        <v>1737</v>
      </c>
      <c r="H2631" t="s">
        <v>1799</v>
      </c>
      <c r="I2631" t="s">
        <v>1799</v>
      </c>
      <c r="J2631" t="s">
        <v>1799</v>
      </c>
      <c r="K2631" t="s">
        <v>1799</v>
      </c>
      <c r="L2631" t="s">
        <v>1722</v>
      </c>
      <c r="M2631" t="s">
        <v>1799</v>
      </c>
      <c r="N2631" t="s">
        <v>1799</v>
      </c>
      <c r="O2631" s="184" t="str">
        <f>"["&amp;$C2631&amp;"]["&amp;$D2631&amp;"]["&amp;$F2631&amp;"]"</f>
        <v>[S13_AnyOtherIssues][80][QuestionnaireSubQuestion]</v>
      </c>
    </row>
    <row r="2632" spans="1:15" x14ac:dyDescent="0.3">
      <c r="A2632" t="s">
        <v>1793</v>
      </c>
      <c r="B2632" t="s">
        <v>2478</v>
      </c>
      <c r="C2632" t="s">
        <v>2479</v>
      </c>
      <c r="D2632">
        <v>81</v>
      </c>
      <c r="E2632" t="s">
        <v>1447</v>
      </c>
      <c r="F2632" t="s">
        <v>2509</v>
      </c>
      <c r="G2632" t="s">
        <v>1737</v>
      </c>
      <c r="H2632" t="s">
        <v>1799</v>
      </c>
      <c r="I2632" t="s">
        <v>1799</v>
      </c>
      <c r="J2632" t="s">
        <v>1799</v>
      </c>
      <c r="K2632" t="s">
        <v>1799</v>
      </c>
      <c r="L2632" t="s">
        <v>1723</v>
      </c>
      <c r="M2632" t="s">
        <v>1799</v>
      </c>
      <c r="N2632" t="s">
        <v>1799</v>
      </c>
      <c r="O2632" s="184" t="str">
        <f>"["&amp;$C2632&amp;"]["&amp;$D2632&amp;"]["&amp;$F2632&amp;"]"</f>
        <v>[S13_AnyOtherIssues][81][QuestionnaireSubQuestion]</v>
      </c>
    </row>
    <row r="2633" spans="1:15" x14ac:dyDescent="0.3">
      <c r="A2633" t="s">
        <v>1793</v>
      </c>
      <c r="B2633" t="s">
        <v>2510</v>
      </c>
      <c r="C2633" t="s">
        <v>2511</v>
      </c>
      <c r="D2633">
        <v>0</v>
      </c>
      <c r="E2633" t="s">
        <v>1447</v>
      </c>
      <c r="F2633" t="s">
        <v>2511</v>
      </c>
      <c r="G2633" t="s">
        <v>1826</v>
      </c>
      <c r="H2633" t="s">
        <v>1799</v>
      </c>
      <c r="I2633" t="s">
        <v>1799</v>
      </c>
      <c r="J2633" t="s">
        <v>1799</v>
      </c>
      <c r="K2633" t="s">
        <v>1799</v>
      </c>
      <c r="L2633" t="s">
        <v>1419</v>
      </c>
      <c r="M2633" t="s">
        <v>1799</v>
      </c>
      <c r="N2633" t="s">
        <v>1799</v>
      </c>
      <c r="O2633" s="184" t="str">
        <f>"["&amp;$C2633&amp;"]["&amp;$D2633&amp;"]["&amp;$F2633&amp;"]"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No</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Member State specific file format</v>
      </c>
      <c r="F9" s="347"/>
      <c r="G9" s="480" t="str">
        <f>_xlfn.CONCAT(_xlfn.XLOOKUP("[S08_MSCustomisedTemplatesAllocation][1][HowTemplateSpecific]",Submission!$O:$O,Submission!$H:$N,""))</f>
        <v>Anwendung eines spezifischen Dateiformats ("Formular-Management-System", FMS); keine zusätzlichen Elemente im Vergleich zum Template der EU-Kommission</v>
      </c>
      <c r="H9" s="456"/>
      <c r="I9" s="457"/>
    </row>
    <row r="10" spans="1:9" ht="27.6" customHeight="1" x14ac:dyDescent="0.3">
      <c r="C10" s="365" t="s">
        <v>1138</v>
      </c>
      <c r="D10" s="365"/>
      <c r="E10" s="281" t="str">
        <f>_xlfn.CONCAT(_xlfn.XLOOKUP("[S08_MSCustomisedTemplatesAllocation][2][SpecificTemplateOrFileFormat]",Submission!$O:$O,Submission!$H:$N,""))</f>
        <v>Member State specific file format</v>
      </c>
      <c r="F10" s="347"/>
      <c r="G10" s="481" t="str">
        <f>_xlfn.CONCAT(_xlfn.XLOOKUP("[S08_MSCustomisedTemplatesAllocation][2][HowTemplateSpecific]",Submission!$O:$O,Submission!$H:$N,""))</f>
        <v>Anwendung eines spezifischen Dateiformats ("Formular-Management-System", FMS); keine zusätzlichen Elemente im Vergleich zum Template der EU-Kommission</v>
      </c>
      <c r="H10" s="481"/>
      <c r="I10" s="481"/>
    </row>
    <row r="11" spans="1:9" ht="27.6" customHeight="1" x14ac:dyDescent="0.3">
      <c r="C11" s="337" t="s">
        <v>1139</v>
      </c>
      <c r="D11" s="339"/>
      <c r="E11" s="281" t="str">
        <f>_xlfn.CONCAT(_xlfn.XLOOKUP("[S08_MSCustomisedTemplatesAllocation][3][SpecificTemplateOrFileFormat]",Submission!$O:$O,Submission!$H:$N,""))</f>
        <v>Member State specific file format</v>
      </c>
      <c r="F11" s="347"/>
      <c r="G11" s="455" t="str">
        <f>_xlfn.CONCAT(_xlfn.XLOOKUP("[S08_MSCustomisedTemplatesAllocation][3][HowTemplateSpecific]",Submission!$O:$O,Submission!$H:$N,""))</f>
        <v>Anwendung eines spezifischen Dateiformats ("Formular-Management-System", FMS); keine zusätzlichen Elemente im Vergleich zum Template der EU-Kommission</v>
      </c>
      <c r="H11" s="456"/>
      <c r="I11" s="457"/>
    </row>
    <row r="12" spans="1:9" ht="27.6" customHeight="1" x14ac:dyDescent="0.3">
      <c r="C12" s="337" t="s">
        <v>1140</v>
      </c>
      <c r="D12" s="339"/>
      <c r="E12" s="281" t="str">
        <f>_xlfn.CONCAT(_xlfn.XLOOKUP("[S08_MSCustomisedTemplatesAllocation][4][SpecificTemplateOrFileFormat]",Submission!$O:$O,Submission!$H:$N,""))</f>
        <v>Member State specific file format</v>
      </c>
      <c r="F12" s="347"/>
      <c r="G12" s="455" t="str">
        <f>_xlfn.CONCAT(_xlfn.XLOOKUP("[S08_MSCustomisedTemplatesAllocation][4][HowTemplateSpecific]",Submission!$O:$O,Submission!$H:$N,""))</f>
        <v>Anwendung eines spezifischen Dateiformats ("Formular-Management-System", FMS); keine zusätzlichen Elemente im Vergleich zum Template der EU-Kommission</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Yes</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134</v>
      </c>
      <c r="H33" s="476"/>
      <c r="I33" s="477"/>
    </row>
    <row r="34" spans="1:9" ht="28.95" customHeight="1" x14ac:dyDescent="0.3">
      <c r="C34" s="303" t="s">
        <v>1156</v>
      </c>
      <c r="D34" s="304"/>
      <c r="E34" s="304"/>
      <c r="F34" s="305"/>
      <c r="G34" s="475" t="str">
        <f>_xlfn.CONCAT(_xlfn.XLOOKUP("[S08_RenunciationSuspensionAllowances][2][NumberOfInstallations]",Submission!$O:$O,Submission!$H:$N,""))</f>
        <v>12</v>
      </c>
      <c r="H34" s="476"/>
      <c r="I34" s="477"/>
    </row>
    <row r="35" spans="1:9" ht="27" customHeight="1" x14ac:dyDescent="0.3">
      <c r="C35" s="303" t="s">
        <v>1157</v>
      </c>
      <c r="D35" s="304"/>
      <c r="E35" s="304"/>
      <c r="F35" s="305"/>
      <c r="G35" s="475" t="str">
        <f>_xlfn.CONCAT(_xlfn.XLOOKUP("[S08_RenunciationSuspensionAllowances][3][NumberOfInstallations]",Submission!$O:$O,Submission!$H:$N,""))</f>
        <v>445</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Yes</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5</v>
      </c>
      <c r="D45" s="470"/>
      <c r="E45" s="470"/>
      <c r="F45" s="471"/>
      <c r="G45" s="469" t="str">
        <f>_xlfn.CONCAT(_xlfn.XLOOKUP("[S08_SubInstallationBenchmark61RejectDetail][1][HeatBenchmark]",Submission!$O:$O,Submission!$H:$N,""))</f>
        <v>6</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Yes</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4</v>
      </c>
      <c r="D50" s="470"/>
      <c r="E50" s="470"/>
      <c r="F50" s="471"/>
      <c r="G50" s="469" t="str">
        <f>_xlfn.CONCAT(_xlfn.XLOOKUP("[S08_SubInstallationBenchmark62Detail][1][HeatBenchmark]",Submission!$O:$O,Submission!$H:$N,""))</f>
        <v>4</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
      </c>
      <c r="H54" s="476"/>
      <c r="I54" s="477"/>
    </row>
    <row r="55" spans="1:9" ht="29.4" customHeight="1" x14ac:dyDescent="0.3">
      <c r="C55" s="246" t="s">
        <v>1168</v>
      </c>
      <c r="D55" s="263"/>
      <c r="E55" s="263"/>
      <c r="F55" s="264"/>
      <c r="G55" s="475" t="str">
        <f>_xlfn.CONCAT(_xlfn.XLOOKUP("[S08_ScopeExclusion][2][NumberOfInstallations]",Submission!$O:$O,Submission!$H:$N,""))</f>
        <v/>
      </c>
      <c r="H55" s="476"/>
      <c r="I55" s="477"/>
    </row>
    <row r="56" spans="1:9" ht="29.4" customHeight="1" x14ac:dyDescent="0.3">
      <c r="C56" s="246" t="s">
        <v>1169</v>
      </c>
      <c r="D56" s="263"/>
      <c r="E56" s="263"/>
      <c r="F56" s="264"/>
      <c r="G56" s="475" t="str">
        <f>_xlfn.CONCAT(_xlfn.XLOOKUP("[S08_ScopeExclusion][3][NumberOfInstallations]",Submission!$O:$O,Submission!$H:$N,""))</f>
        <v>1</v>
      </c>
      <c r="H56" s="476"/>
      <c r="I56" s="477"/>
    </row>
    <row r="57" spans="1:9" ht="29.4" customHeight="1" x14ac:dyDescent="0.3">
      <c r="C57" s="246" t="s">
        <v>1170</v>
      </c>
      <c r="D57" s="263"/>
      <c r="E57" s="263"/>
      <c r="F57" s="264"/>
      <c r="G57" s="475" t="str">
        <f>_xlfn.CONCAT(_xlfn.XLOOKUP("[S08_ScopeExclusion][4][NumberOfInstallations]",Submission!$O:$O,Submission!$H:$N,""))</f>
        <v>5</v>
      </c>
      <c r="H57" s="476"/>
      <c r="I57" s="477"/>
    </row>
    <row r="58" spans="1:9" ht="29.4" customHeight="1" x14ac:dyDescent="0.3">
      <c r="C58" s="246" t="s">
        <v>1171</v>
      </c>
      <c r="D58" s="263"/>
      <c r="E58" s="263"/>
      <c r="F58" s="264"/>
      <c r="G58" s="475" t="str">
        <f>_xlfn.CONCAT(_xlfn.XLOOKUP("[S08_ScopeExclusion][5][NumberOfInstallations]",Submission!$O:$O,Submission!$H:$N,""))</f>
        <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Yes</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Gemäß Art. 3 Abs. 2 der Durchführungsverordnung (EU) 2019/1842 haben wir Betreiber verpflichtet, die folgenden zusätzlichen Daten zu melden:
-für jedes Berichtsjahr alle Daten, die der Betreiber für den Antrag auf kostenlose Zuteilung in der 4. Handelsperiode einreichen musste, sowie:
-Für jede Teilanlage: Zuordnung der zugehörigen Ein- und Ausgänge;
- für Anlagenteile mit Wärme-Benchmark: wenn die Wärme für die Herstellung von Produkten in der Anlage verwendet wird: für jedes Produkt gemäß Anhang IV Ziffer 2.6 b) der Delegierten Verordnung (EU) 2019/331 die Menge an messbarer Wärme, die für seine Herstellung verwendet;
- im Falle von Wärme, die an eine Anlage oder andere Einrichtung exportiert wird, die nicht unter das EU-EHS fällt: die Menge an messbarer Wärme und die Prodcom-Codes 2010 und NACE-Codes Rev 2 der Produkte dieser Anlagen oder anderen Einrichtungen;</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
      </c>
      <c r="G149" s="372"/>
      <c r="H149" s="372" t="str">
        <f>_xlfn.CONCAT(_xlfn.XLOOKUP("[S08_NegativeOpinionActivityData][1][NumberOfInstallationsConEst]",Submission!$O:$O,Submission!$H:$N,""))</f>
        <v/>
      </c>
      <c r="I149" s="372"/>
    </row>
    <row r="150" spans="1:9" s="95" customFormat="1" ht="27.75" customHeight="1" x14ac:dyDescent="0.3">
      <c r="A150" s="94"/>
      <c r="C150" s="354" t="s">
        <v>1201</v>
      </c>
      <c r="D150" s="354"/>
      <c r="E150" s="354"/>
      <c r="F150" s="372" t="str">
        <f>_xlfn.CONCAT(_xlfn.XLOOKUP("[S08_NegativeOpinionActivityData][2][NumberOfInstallations]",Submission!$O:$O,Submission!$H:$N,""))</f>
        <v/>
      </c>
      <c r="G150" s="372"/>
      <c r="H150" s="372" t="str">
        <f>_xlfn.CONCAT(_xlfn.XLOOKUP("[S08_NegativeOpinionActivityData][2][NumberOfInstallationsConEst]",Submission!$O:$O,Submission!$H:$N,""))</f>
        <v/>
      </c>
      <c r="I150" s="372"/>
    </row>
    <row r="151" spans="1:9" s="95" customFormat="1" ht="27.75" customHeight="1" x14ac:dyDescent="0.3">
      <c r="A151" s="94"/>
      <c r="C151" s="354" t="s">
        <v>1202</v>
      </c>
      <c r="D151" s="354"/>
      <c r="E151" s="354"/>
      <c r="F151" s="372" t="str">
        <f>_xlfn.CONCAT(_xlfn.XLOOKUP("[S08_NegativeOpinionActivityData][3][NumberOfInstallations]",Submission!$O:$O,Submission!$H:$N,""))</f>
        <v/>
      </c>
      <c r="G151" s="372"/>
      <c r="H151" s="372" t="str">
        <f>_xlfn.CONCAT(_xlfn.XLOOKUP("[S08_NegativeOpinionActivityData][3][NumberOfInstallationsConEst]",Submission!$O:$O,Submission!$H:$N,""))</f>
        <v/>
      </c>
      <c r="I151" s="372"/>
    </row>
    <row r="152" spans="1:9" s="95" customFormat="1" ht="27.75" customHeight="1" x14ac:dyDescent="0.3">
      <c r="A152" s="94"/>
      <c r="C152" s="354" t="s">
        <v>1203</v>
      </c>
      <c r="D152" s="354"/>
      <c r="E152" s="354"/>
      <c r="F152" s="372" t="str">
        <f>_xlfn.CONCAT(_xlfn.XLOOKUP("[S08_NegativeOpinionActivityData][4][NumberOfInstallations]",Submission!$O:$O,Submission!$H:$N,""))</f>
        <v/>
      </c>
      <c r="G152" s="372"/>
      <c r="H152" s="372" t="str">
        <f>_xlfn.CONCAT(_xlfn.XLOOKUP("[S08_NegativeOpinionActivityData][4][NumberOfInstallationsConEst]",Submission!$O:$O,Submission!$H:$N,""))</f>
        <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Generic authorisation under Article 34a of Implementing Regulation (EU) 2018/2067</v>
      </c>
      <c r="G264" s="414"/>
      <c r="H264" s="412" t="str">
        <f>_xlfn.CONCAT(_xlfn.XLOOKUP("[S08_VirtualVisitsActivityLevelDetail][1][ConfirmationConditionsMet]",Submission!$O:$O,Submission!$H:$N,""))</f>
        <v>Noch nicht geprüft</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c>
      <c r="D60" s="468"/>
      <c r="E60" s="468"/>
      <c r="F60" s="252"/>
      <c r="G60" s="452" t="str">
        <f>_xlfn.CONCAT(_xlfn.XLOOKUP("[S09_RegistryAccountOneOffFees][1][OneOffFeeAmount]",Submission!$O:$O,Submission!$H:$N,""))</f>
        <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
      </c>
      <c r="D74" s="468"/>
      <c r="E74" s="468"/>
      <c r="F74" s="252"/>
      <c r="G74" s="452" t="str">
        <f>_xlfn.CONCAT(_xlfn.XLOOKUP("[S09_RegistryAccountAnnualFees][1][AnnualFeeAmount]",Submission!$O:$O,Submission!$H:$N,""))</f>
        <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Yes</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Yes</v>
      </c>
      <c r="I9" s="72" t="str">
        <f>_xlfn.CONCAT(_xlfn.XLOOKUP("[S10_InstallationsComplianceMeasures][3][ComplianceMeasuresComment]",Submission!$O:$O,Submission!$H:$N,""))</f>
        <v>siehe 5.1</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
      </c>
      <c r="F21" s="105" t="str">
        <f>_xlfn.CONCAT(_xlfn.XLOOKUP("[S10_InstallationsInfringementPenalties]["&amp;ROW(B21)-ROW($B$20)&amp;"][MaxFine]",Submission!$O:$O,Submission!$H:$N,""))</f>
        <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
      </c>
      <c r="F23" s="105" t="str">
        <f>_xlfn.CONCAT(_xlfn.XLOOKUP("[S10_InstallationsInfringementPenalties]["&amp;ROW(B23)-ROW($B$20)&amp;"][MaxFine]",Submission!$O:$O,Submission!$H:$N,""))</f>
        <v>50000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50000</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50000</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
      </c>
      <c r="F26" s="105" t="str">
        <f>_xlfn.CONCAT(_xlfn.XLOOKUP("[S10_InstallationsInfringementPenalties]["&amp;ROW(B26)-ROW($B$20)&amp;"][MaxFine]",Submission!$O:$O,Submission!$H:$N,""))</f>
        <v>500000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
      </c>
      <c r="F27" s="105" t="str">
        <f>_xlfn.CONCAT(_xlfn.XLOOKUP("[S10_InstallationsInfringementPenalties]["&amp;ROW(B27)-ROW($B$20)&amp;"][MaxFine]",Submission!$O:$O,Submission!$H:$N,""))</f>
        <v>50000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
      </c>
      <c r="F28" s="105" t="str">
        <f>_xlfn.CONCAT(_xlfn.XLOOKUP("[S10_InstallationsInfringementPenalties]["&amp;ROW(B28)-ROW($B$20)&amp;"][MaxFine]",Submission!$O:$O,Submission!$H:$N,""))</f>
        <v>500000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
      </c>
      <c r="F31" s="105" t="str">
        <f>_xlfn.CONCAT(_xlfn.XLOOKUP("[S10_InstallationsInfringementPenalties]["&amp;ROW(B31)-ROW($B$20)&amp;"][MaxFine]",Submission!$O:$O,Submission!$H:$N,""))</f>
        <v>500000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Carpenter GmbH</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Yes</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Yes</v>
      </c>
      <c r="I135" s="72" t="str">
        <f>_xlfn.CONCAT(_xlfn.XLOOKUP("[S10_AircraftComplianceMeasures][3][ComplianceMeasuresComment]",Submission!$O:$O,Submission!$H:$N,""))</f>
        <v>siehe 5.1</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
      </c>
      <c r="F147" s="105" t="str">
        <f>_xlfn.CONCAT(_xlfn.XLOOKUP("[S10_AircraftInfringementPenalties][1][MaxFine]",Submission!$O:$O,Submission!$H:$N,""))</f>
        <v>50000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50000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500000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50000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500000</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
      </c>
      <c r="F152" s="105" t="str">
        <f>_xlfn.CONCAT(_xlfn.XLOOKUP("[S10_AircraftInfringementPenalties][6][MaxFine]",Submission!$O:$O,Submission!$H:$N,""))</f>
        <v>500000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500000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500000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Rossiya Airlines Joint-Stock-Company</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Atlasjet Airlines</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Reliance Commerical Dealers Ltd.</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Nach Finanzmarktrichtlinie 2014/65/EU (MiFID II) sind Emissionszertifikate als Finanzinstrumente definiert. Im Rahmen der im Jahr 2017 erfolgten nationalen Umsetzung (Zweites Finanzmarktnovellierungsgesetz - 2. FiMaNoG) wurden die entsprechenden rechtlichen Regelungen dahingehend überarbeitet, dass Emissionszertifikate gem. § 1 Abs. 11 Nr. 9 KWG und § 2 Abs. 4 Nr. 5 WpHG ab 3. Januar 2018 Finanzinstrumente sind und der Handel somit der Finanzmarktaufsicht unterliegt. § 7 Abs. 5 TEHG entfällt entsprechend.</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Sowohl handels- als auch steuerrechtlich werden die Emissionsberechtigungen als immaterielle Wirtschaftsgüter dem Umlaufvermögen zugeordnet. Die unentgeltlich ausgegebenen Emissionsberechtigungen sind in der Steuerbilanz mit 0 Euro zu bewerten. In der Handelsbilanz ist ein Ansatz mit dem Erinnerungswert oder mit dem Zeitwert zulässig, wobei spiegelbildlich zum Zeitwertansatz eine Rücklage zu bilden ist. Sowohl der Ansatz in der Steuer- als auch in der Handelsbilanz erfolgt damit gewinnneutral. Entgeltlich erworbene Emissionsberechtigungen sind sowohl in der Steuer- als auch in der Handelsbilanz mit ihren Anschaffungskosten zu aktivieren.
Für die Abgabeverpflichtung ist eine Verbindlichkeit auszuweisen, soweit am Bilanzstichtag ausreichend Emissionsberechtigungen vorhanden sind. Insoweit bleibt die Abgabeverpflichtung erfolgsneutral. Stehen am Bilanzstichtag sowohl unentgeltlich als auch entgeltlich erworbene Emissionsberechtigungen zur Erfüllung der Abgabeverpflichtung zur Verfügung, ist die Verbrauchsfolge zu bestimmen. Ist die Verbrauchsfolge nicht feststellbar, ist davon auszugehen, dass zur Erfüllung der Abgabeverpflichtung zuerst die unentgeltlich (mit 0 Euro bewerteten) Emissionsberechtigungen eingesetzt werden.
In Höhe der noch fehlenden Emissionsberechtigungen ist eine Rückstellung für ungewisse Verbindlichkeiten mit den Einzelkosten (Wert von Emissionsberechtigungen am Bilanzstichtag) und den notwendigen Gemeinkosten am Bilanzstichtag anzusetzen. In dieser Höhe wirkt sich die Abgabeverpflichtung mindernd auf den Gewinn aus. Die handels- und steuerrechtlichen Regelungen führen zu den gleichen Gewinnauswirkungen.</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Yes</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VAT (Umsatzsteuer)</v>
      </c>
      <c r="D18" s="348"/>
      <c r="E18" s="348"/>
      <c r="F18" s="285"/>
      <c r="G18" s="284" t="str">
        <f>_xlfn.CONCAT(_xlfn.XLOOKUP("[S11_TypeOfTaxRatesApplied][1][TaxRateApplied]",Submission!$O:$O,Submission!$H:$N,""))</f>
        <v>19</v>
      </c>
      <c r="H18" s="348"/>
      <c r="I18" s="285"/>
    </row>
    <row r="19" spans="2:9" ht="15.9" customHeight="1" x14ac:dyDescent="0.3">
      <c r="C19" s="284" t="str">
        <f>_xlfn.CONCAT(_xlfn.XLOOKUP("[S11_TypeOfTaxRatesApplied][2][TypeOfTax]",Submission!$O:$O,Submission!$H:$N,""))</f>
        <v>Corporate tax (trade tax, Gewerbesteuer)</v>
      </c>
      <c r="D19" s="348"/>
      <c r="E19" s="348"/>
      <c r="F19" s="285"/>
      <c r="G19" s="284" t="str">
        <f>_xlfn.CONCAT(_xlfn.XLOOKUP("[S11_TypeOfTaxRatesApplied][2][TaxRateApplied]",Submission!$O:$O,Submission!$H:$N,""))</f>
        <v>siehe Hinweis</v>
      </c>
      <c r="H19" s="348"/>
      <c r="I19" s="285"/>
    </row>
    <row r="20" spans="2:9" ht="15.9" hidden="1" customHeight="1" outlineLevel="1" x14ac:dyDescent="0.3">
      <c r="C20" s="284" t="str">
        <f>_xlfn.CONCAT(_xlfn.XLOOKUP("[S11_TypeOfTaxRatesApplied][3][TypeOfTax]",Submission!$O:$O,Submission!$H:$N,""))</f>
        <v>Corporate income tax (Körperschaftsteuer)</v>
      </c>
      <c r="D20" s="348"/>
      <c r="E20" s="348"/>
      <c r="F20" s="285"/>
      <c r="G20" s="284" t="str">
        <f>_xlfn.CONCAT(_xlfn.XLOOKUP("[S11_TypeOfTaxRatesApplied][3][TaxRateApplied]",Submission!$O:$O,Submission!$H:$N,""))</f>
        <v>siehe Hinweis</v>
      </c>
      <c r="H20" s="348"/>
      <c r="I20" s="285"/>
    </row>
    <row r="21" spans="2:9" ht="15.9" hidden="1" customHeight="1" outlineLevel="1" x14ac:dyDescent="0.3">
      <c r="C21" s="284" t="str">
        <f>_xlfn.CONCAT(_xlfn.XLOOKUP("[S11_TypeOfTaxRatesApplied][4][TypeOfTax]",Submission!$O:$O,Submission!$H:$N,""))</f>
        <v>Other Income tax (Einkommensteuer)</v>
      </c>
      <c r="D21" s="348"/>
      <c r="E21" s="348"/>
      <c r="F21" s="285"/>
      <c r="G21" s="284" t="str">
        <f>_xlfn.CONCAT(_xlfn.XLOOKUP("[S11_TypeOfTaxRatesApplied][4][TaxRateApplied]",Submission!$O:$O,Submission!$H:$N,""))</f>
        <v>siehe Hinweis</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Keine gesonderten Regelungen.</v>
      </c>
      <c r="H7" s="348"/>
      <c r="I7" s="285"/>
    </row>
    <row r="8" spans="1:9" ht="45" customHeight="1" x14ac:dyDescent="0.3">
      <c r="C8" s="246" t="s">
        <v>1337</v>
      </c>
      <c r="D8" s="283"/>
      <c r="E8" s="283"/>
      <c r="F8" s="239"/>
      <c r="G8" s="284" t="str">
        <f>_xlfn.CONCAT(_xlfn.XLOOKUP("[S12_FraudFreeAllocationOfAllowances][2][DetailsOfProceduresInNationalLaw]",Submission!$O:$O,Submission!$H:$N,""))</f>
        <v>Ja</v>
      </c>
      <c r="H8" s="348"/>
      <c r="I8" s="285"/>
    </row>
    <row r="9" spans="1:9" ht="45" customHeight="1" x14ac:dyDescent="0.3">
      <c r="C9" s="246" t="s">
        <v>1338</v>
      </c>
      <c r="D9" s="283"/>
      <c r="E9" s="283"/>
      <c r="F9" s="239"/>
      <c r="G9" s="284" t="str">
        <f>_xlfn.CONCAT(_xlfn.XLOOKUP("[S12_FraudFreeAllocationOfAllowances][3][DetailsOfProceduresInNationalLaw]",Submission!$O:$O,Submission!$H:$N,""))</f>
        <v>Staatsanwaltschaft</v>
      </c>
      <c r="H9" s="348"/>
      <c r="I9" s="285"/>
    </row>
    <row r="10" spans="1:9" ht="45" customHeight="1" x14ac:dyDescent="0.3">
      <c r="C10" s="246" t="s">
        <v>1339</v>
      </c>
      <c r="D10" s="283"/>
      <c r="E10" s="283"/>
      <c r="F10" s="239"/>
      <c r="G10" s="284" t="str">
        <f>_xlfn.CONCAT(_xlfn.XLOOKUP("[S12_FraudFreeAllocationOfAllowances][4][DetailsOfProceduresInNationalLaw]",Submission!$O:$O,Submission!$H:$N,""))</f>
        <v>Ja</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Ja</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Geldstrafe oder Freiheitsstraße bis zu fünf Jahren gemäß § 263 StGB. Die Strafzumessung erfolgt nach den allgemeinen Regeln des StGB.</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xml:space="preserve">Keine gesonderten Regelungen. Zuständig für die Strafverfolgung sind die Bundesländer. Eine Information erfolgt zuverlässig nur, wenn die Strafermittlungsbehörden Informationen der DEHSt benötigen.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s.o.</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s.o.</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s.o.</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
      </c>
      <c r="I28" s="342"/>
    </row>
    <row r="29" spans="1:9" ht="20.399999999999999" customHeight="1" x14ac:dyDescent="0.3">
      <c r="C29" s="246" t="s">
        <v>1357</v>
      </c>
      <c r="D29" s="283"/>
      <c r="E29" s="283"/>
      <c r="F29" s="283"/>
      <c r="G29" s="239"/>
      <c r="H29" s="341" t="str">
        <f>_xlfn.CONCAT(_xlfn.XLOOKUP("[S12_InformationOnFraudActivities][2][NumberOfActivities]",Submission!$O:$O,Submission!$H:$N,""))</f>
        <v/>
      </c>
      <c r="I29" s="342"/>
    </row>
    <row r="30" spans="1:9" ht="20.399999999999999" customHeight="1" x14ac:dyDescent="0.3">
      <c r="C30" s="246" t="s">
        <v>1358</v>
      </c>
      <c r="D30" s="283"/>
      <c r="E30" s="283"/>
      <c r="F30" s="283"/>
      <c r="G30" s="239"/>
      <c r="H30" s="341" t="str">
        <f>_xlfn.CONCAT(_xlfn.XLOOKUP("[S12_InformationOnFraudActivities][3][NumberOfActivities]",Submission!$O:$O,Submission!$H:$N,""))</f>
        <v/>
      </c>
      <c r="I30" s="342"/>
    </row>
    <row r="31" spans="1:9" ht="20.399999999999999" customHeight="1" x14ac:dyDescent="0.3">
      <c r="C31" s="246" t="s">
        <v>1359</v>
      </c>
      <c r="D31" s="283"/>
      <c r="E31" s="283"/>
      <c r="F31" s="283"/>
      <c r="G31" s="239"/>
      <c r="H31" s="341" t="str">
        <f>_xlfn.CONCAT(_xlfn.XLOOKUP("[S12_InformationOnFraudActivities][4][NumberOfActivities]",Submission!$O:$O,Submission!$H:$N,""))</f>
        <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Es wird darauf hingewiesen, dass die Emissionsberichtsprüfung 2022 für das Berichtsjahr 2021 noch nicht abgeschlossen ist und daher etwaige notwendige Korrekturen der Emissionsberichte noch nicht vorgenommen wurden. 
Zur Beantwortung der Fragen 5.5 wurden in Fällen von kontinuierlicher Emissionsmessung (KEMS) in Anlagen die notwendigen Angaben zu den Stoffströmen aus den Angaben für die flankierende Berechnung entnommen (Hinweis: flankierende Berechnung ist gemäß MVO nicht in allen Fällen erforderlich). Für alle anderen Fragen wurde auf die Angaben zu KEMS und nicht auf die flankierenden Stoffströme abgestellt. Dies ist methodisch begründet, um Doppelzählungen zu vermeiden.</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Question 3.1</v>
      </c>
      <c r="E13" s="348" t="str">
        <f>_xlfn.CONCAT(_xlfn.XLOOKUP("[S13_AnyOtherIssues][7][OtherInformationOrIssues]",Submission!$O:$O,Submission!$H:$N,""))</f>
        <v xml:space="preserve">Die Einordnung der Anlagen in die Kategorien A, B und C wurde auf Basis der eingetragenen verifizierten Emissionen im Unionsregister vorgenommen. Diese Einordnung kann in Einzelfällen nicht mit den im Überwachungsplan genehmigten Kategorien übereinstimmen.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Question 4.2</v>
      </c>
      <c r="E16" s="348" t="str">
        <f>_xlfn.CONCAT(_xlfn.XLOOKUP("[S13_AnyOtherIssues][10][OtherInformationOrIssues]",Submission!$O:$O,Submission!$H:$N,""))</f>
        <v xml:space="preserve">Nach nationalem Recht ermöglichen die Genehmigungsbehörden der Länder, dass die DEHSt bei einer Änderungsgenehmigung Stellung nimmt (siehe 4.1). Allerdings sind nicht in jedem Fall die Änderungsgenehmigungen für den Emissionshandel relevant. Die angegebene Zahl von 62 Fällen gibt daher nur wieder, in wie vielen Fällen die DEHSt eine Stellungnahme abgegeben hat.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5.5</v>
      </c>
      <c r="E18" s="348" t="str">
        <f>_xlfn.CONCAT(_xlfn.XLOOKUP("[S13_AnyOtherIssues][12][OtherInformationOrIssues]",Submission!$O:$O,Submission!$H:$N,""))</f>
        <v>Die Kategorie „Sonstige fossile Brennstoffe“ enthält auch fossile Anteile in Biomasse. Des Weiteren ist zu beachten, dass in den Fällen, in denen der Anlagenbetreiber auf Basis eines masse- oder volumenbezogenen Emissionsfaktors in tCO2/t oder tCO2/Nm3 oder einen Stoff in einer Massenbilanz berichtet, fehlende Heizwerte von der zuständigen Behörde für die Spalte „Gesamter Brennstoffverbrauch (TJ)“  geschätzt wurde. Für diese Schätzung des Heizwerts wird für einen Stoffstrom, für den ein Standardwert vorhanden ist (entweder aus der nationalen Liste gemäß Art. 31 (1) c) MVO oder gemäß Anhang VI MVO), dieser als Schätzwert verwendet. Ist kein Standardwert vorhanden, wird der Jahresmittelwerte aus den berichteten Werten für den entsprechenden Stoffstrom angesetzt.</v>
      </c>
      <c r="F18" s="348"/>
      <c r="G18" s="348"/>
      <c r="H18" s="348"/>
      <c r="I18" s="285"/>
      <c r="K18" s="186"/>
    </row>
    <row r="19" spans="3:11" ht="27" customHeight="1" x14ac:dyDescent="0.3">
      <c r="C19" s="558"/>
      <c r="D19" s="161" t="str">
        <f>_xlfn.CONCAT(_xlfn.XLOOKUP("[S13_AnyOtherIssues][13][QuestionnaireSubQuestion]",Submission!$O:$O,Submission!$H:$N,""))</f>
        <v>Question 5.6</v>
      </c>
      <c r="E19" s="348" t="str">
        <f>_xlfn.CONCAT(_xlfn.XLOOKUP("[S13_AnyOtherIssues][13][OtherInformationOrIssues]",Submission!$O:$O,Submission!$H:$N,""))</f>
        <v xml:space="preserve">Grundsätzlich werden die Angaben der Anlagenbetreiber herangezogen. Die Anlagenbetreiber ordnen die CRF-Kategorie/n der in einer Anlage durchgeführten Tätigkeit nach Anhang I der Richtlinie 2003/87/EG und nicht den einzelnen Stoffströmen zu. Jedem Stoffstrom wird ein Energie- bzw. ein Prozess-CRF-Code auf Basis folgender Stoffstrom-Angaben des Anlagenbetreibers zugeordnet: Tätigkeit/Stoffstromtyp nach Anhang II Tabelle 1 MVO, Methodik der Berechnung der Emissionen für den angelegten Stoffstrom nach Art. 24 oder Art. 25 MVO (Emissionen aus der Verbrennung, Prozessemissionen, Emissionen nach Massenbilanzmethodik) und Angabe, ob der Stoffstrom als Brennstoff eingesetzt wurde oder nicht. Zusätzlich werden bei einigen Stoffströmen Kenntnisse der Inventarexperten herangezogen und Stoffströme manuell abweichend von der Betreiberangabe einer sinnvollen CRF-Kategorie zugeordnet. 
In Deutschland werden die CRF-Kategorie 1A2f und 2B8 in mehrere Unterkategorien eingeteilt (z.B. Zement „1A2f(b)“, Herstellung von Industrieruß „2B8f“). Diese Kategorisierung steht in REPORTNET nicht zur Verfügung, daher werden die CRF-Kategorien 1A2f(a) bis 1A2f(d) unter 1A2f und 2B8a bis 2B8g unter 2B8 zusammengefasst. </v>
      </c>
      <c r="F19" s="348"/>
      <c r="G19" s="348"/>
      <c r="H19" s="348"/>
      <c r="I19" s="285"/>
    </row>
    <row r="20" spans="3:11" ht="27" hidden="1" customHeight="1" outlineLevel="1" x14ac:dyDescent="0.3">
      <c r="C20" s="558"/>
      <c r="D20" s="161" t="str">
        <f>_xlfn.CONCAT(_xlfn.XLOOKUP("[S13_AnyOtherIssues][14][QuestionnaireSubQuestion]",Submission!$O:$O,Submission!$H:$N,""))</f>
        <v>Question 5.7</v>
      </c>
      <c r="E20" s="348" t="str">
        <f>_xlfn.CONCAT(_xlfn.XLOOKUP("[S13_AnyOtherIssues][14][OtherInformationOrIssues]",Submission!$O:$O,Submission!$H:$N,""))</f>
        <v xml:space="preserve">Bei Stoffströmen, deren Emissionen auf Basis von Standardwerten für mehr als einen Berechnungsfaktor ermittelt werden, geht dieser Stoffstrom mit 1 in die Anzahl der Anlagen ein, die für diesen Stoffstrom Standardwerte nutzen. </v>
      </c>
      <c r="F20" s="348"/>
      <c r="G20" s="348"/>
      <c r="H20" s="348"/>
      <c r="I20" s="285"/>
    </row>
    <row r="21" spans="3:11" ht="27" hidden="1" customHeight="1" outlineLevel="1" x14ac:dyDescent="0.3">
      <c r="C21" s="558"/>
      <c r="D21" s="161" t="str">
        <f>_xlfn.CONCAT(_xlfn.XLOOKUP("[S13_AnyOtherIssues][15][QuestionnaireSubQuestion]",Submission!$O:$O,Submission!$H:$N,""))</f>
        <v>Question 5.8</v>
      </c>
      <c r="E21" s="348" t="str">
        <f>_xlfn.CONCAT(_xlfn.XLOOKUP("[S13_AnyOtherIssues][15][OtherInformationOrIssues]",Submission!$O:$O,Submission!$H:$N,""))</f>
        <v xml:space="preserve">Die Abweichung von der geforderten Analysehäufigkeit nach Anhang VII MVO ist in unserer IT-Anwendung nicht systematisch auswertbar, da es sich nicht um eine Ebenenabweichung handelt. Es ist geplant, diese Auswertung mit der Einführung der neuen IT-Anwendung für die Datenerfassung in den nächsten Jahren zu ermöglichen. </v>
      </c>
      <c r="F21" s="348"/>
      <c r="G21" s="348"/>
      <c r="H21" s="348"/>
      <c r="I21" s="285"/>
    </row>
    <row r="22" spans="3:11" ht="27" hidden="1" customHeight="1" outlineLevel="1" x14ac:dyDescent="0.3">
      <c r="C22" s="558"/>
      <c r="D22" s="161" t="str">
        <f>_xlfn.CONCAT(_xlfn.XLOOKUP("[S13_AnyOtherIssues][16][QuestionnaireSubQuestion]",Submission!$O:$O,Submission!$H:$N,""))</f>
        <v>Question 5.9</v>
      </c>
      <c r="E22" s="348" t="str">
        <f>_xlfn.CONCAT(_xlfn.XLOOKUP("[S13_AnyOtherIssues][16][OtherInformationOrIssues]",Submission!$O:$O,Submission!$H:$N,""))</f>
        <v xml:space="preserve">Die Anzahl emissionsstarker Stoffströme in Anlagen der Kategorie C beträgt 698. </v>
      </c>
      <c r="F22" s="348"/>
      <c r="G22" s="348"/>
      <c r="H22" s="348"/>
      <c r="I22" s="285"/>
    </row>
    <row r="23" spans="3:11" ht="27" hidden="1" customHeight="1" outlineLevel="1" x14ac:dyDescent="0.3">
      <c r="C23" s="558"/>
      <c r="D23" s="161" t="str">
        <f>_xlfn.CONCAT(_xlfn.XLOOKUP("[S13_AnyOtherIssues][17][QuestionnaireSubQuestion]",Submission!$O:$O,Submission!$H:$N,""))</f>
        <v>Question 5.1</v>
      </c>
      <c r="E23" s="348" t="str">
        <f>_xlfn.CONCAT(_xlfn.XLOOKUP("[S13_AnyOtherIssues][17][OtherInformationOrIssues]",Submission!$O:$O,Submission!$H:$N,""))</f>
        <v xml:space="preserve">5.10: Die Anzahl emissionsstarker Stoffströme in Anlagen der Kategorie B beträgt 1047. </v>
      </c>
      <c r="F23" s="348"/>
      <c r="G23" s="348"/>
      <c r="H23" s="348"/>
      <c r="I23" s="285"/>
    </row>
    <row r="24" spans="3:11" ht="27" hidden="1" customHeight="1" outlineLevel="1" x14ac:dyDescent="0.3">
      <c r="C24" s="558"/>
      <c r="D24" s="161" t="str">
        <f>_xlfn.CONCAT(_xlfn.XLOOKUP("[S13_AnyOtherIssues][18][QuestionnaireSubQuestion]",Submission!$O:$O,Submission!$H:$N,""))</f>
        <v>Question 5.12</v>
      </c>
      <c r="E24" s="348" t="str">
        <f>_xlfn.CONCAT(_xlfn.XLOOKUP("[S13_AnyOtherIssues][18][OtherInformationOrIssues]",Submission!$O:$O,Submission!$H:$N,""))</f>
        <v>Verbesserungsberichte gemäß Art. 69 Abs. 2 MVO: Ein Verbesserungsbericht ist in diesen Fällen aus Sicht der DEHSt nicht erforderlich. 
Rein formale Ebenenabweichungen, z.B. wegen der Verwendung eines konservativen, stöchiometrischen Werts (Ebene 1) statt Analyse (Ebene 3) für den C-Gehalt oder wegen der Verwendung eines Umsetzungsfaktors von 1 (Ebene 1) statt Analyse (Ebene 2).
Ebenenabweichung bei der Mengenmessung von Kuppelgasen, da es sich um eine Weiterleitung von einer emissionshandelspflichtigen Anlage an eine andere emissionshandelspflichtige Anlage handelt und eine beiderseitig akzeptierte Weiterleitungsmenge nach (vgl. Art. 48 (3) Unterabsatz 2 und 3 MVO) bestimmt wurde. Damit werden Emissionen, die bei der weiterleitenden Anlage ggf. zu viel abgezogen werden, vom Empfänger berichtet und dafür Emissionsberechtigungen abgegeben. 
Ein neuer, überarbeiteter Überwachungsplan wurde eingereicht, in dem die Verbesserungen umgesetzt wurden.
Stilllegung der Anlage bzw. die Anlage ist nicht in Betrieb.
Ebenenabweichung wurde mit Nachweis der Unverhältnismäßigkeit bis zu einem bestimmten Zeitpunkt genehmigt, da Messgerät nur im Rahmen einer Großrevision nachgerüstet werden kann.
Verbesserungsberichte gemäß Art. 69 Abs. 4 MVO: Die Auswertungsmöglichkeiten sind begrenzt. Folgender Überblick kann gegeben werden:
Im Rahmen der Verifizierung der Emissionsberichte wurde von den Prüfstellen in ca. 275 Fällen die Frage, ob Verbesserungspotenzial identifiziert werden konnte mit „ja“ beantwortet. 
In ungefähr 100 Fällen wurde von den Prüfstellen die Frage, ob Nichtkonformitäten mit dem genehmigten Überwachungsplan festgestellt wurden, mit „ja“ beantwortet. Dabei handelt es sich jedoch v.a. um Hinweise zu nicht wesentlichen Nichtkonformitäten, noch nicht genehmigten, aber bei der DEHSt schon eingereichten Überwachungsplänen oder um Hinweise zu einer konservativen Vorgehensweise des Anlagenbetreibers.</v>
      </c>
      <c r="F24" s="348"/>
      <c r="G24" s="348"/>
      <c r="H24" s="348"/>
      <c r="I24" s="285"/>
    </row>
    <row r="25" spans="3:11" ht="27" hidden="1" customHeight="1" outlineLevel="1" x14ac:dyDescent="0.3">
      <c r="C25" s="558"/>
      <c r="D25" s="161" t="str">
        <f>_xlfn.CONCAT(_xlfn.XLOOKUP("[S13_AnyOtherIssues][19][QuestionnaireSubQuestion]",Submission!$O:$O,Submission!$H:$N,""))</f>
        <v>Question 5.19</v>
      </c>
      <c r="E25" s="348" t="str">
        <f>_xlfn.CONCAT(_xlfn.XLOOKUP("[S13_AnyOtherIssues][19][OtherInformationOrIssues]",Submission!$O:$O,Submission!$H:$N,""))</f>
        <v>CORSIA-Flüge mit Emissionsfaktor 3,15; Dies bedeutet, dass die Daten unterscheiden sich von denen, die DE an ICAO übermitteln.</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6.3</v>
      </c>
      <c r="E41" s="348" t="str">
        <f>_xlfn.CONCAT(_xlfn.XLOOKUP("[S13_AnyOtherIssues][35][OtherInformationOrIssues]",Submission!$O:$O,Submission!$H:$N,""))</f>
        <v>Die Prüfung der Emissionsberichte für das Jahr 2021 ist noch nicht abgeschlossen. Ob und in wie vielen Fällen konservative Schätzungen gemäß Art. 70 (1) der Verordnung (EU) Nr. 2018/2066 erforderlich sind, kann erst am Ende des Prüfverfahrens nach Anhörung der betroffenen Betreiber und Bewertung ihrer Reaktionen beantwortet werden.</v>
      </c>
      <c r="F41" s="348"/>
      <c r="G41" s="348"/>
      <c r="H41" s="348"/>
      <c r="I41" s="285"/>
    </row>
    <row r="42" spans="3:9" ht="27" customHeight="1" x14ac:dyDescent="0.3">
      <c r="C42" s="558"/>
      <c r="D42" s="161" t="str">
        <f>_xlfn.CONCAT(_xlfn.XLOOKUP("[S13_AnyOtherIssues][36][QuestionnaireSubQuestion]",Submission!$O:$O,Submission!$H:$N,""))</f>
        <v>Question 6.4</v>
      </c>
      <c r="E42" s="348" t="str">
        <f>_xlfn.CONCAT(_xlfn.XLOOKUP("[S13_AnyOtherIssues][36][OtherInformationOrIssues]",Submission!$O:$O,Submission!$H:$N,""))</f>
        <v>Die Prüfung der Emissionsberichte für das Jahr 2021 durch die DEHSt ist noch nicht abgeschlossen. Inwiefern die Angaben im Prüfbericht relevant sind, kann erst nach Abschluss dieser Prüfung beantwortet werden.</v>
      </c>
      <c r="F42" s="348"/>
      <c r="G42" s="348"/>
      <c r="H42" s="348"/>
      <c r="I42" s="285"/>
    </row>
    <row r="43" spans="3:9" ht="27" hidden="1" customHeight="1" outlineLevel="1" x14ac:dyDescent="0.3">
      <c r="C43" s="558"/>
      <c r="D43" s="161" t="str">
        <f>_xlfn.CONCAT(_xlfn.XLOOKUP("[S13_AnyOtherIssues][37][QuestionnaireSubQuestion]",Submission!$O:$O,Submission!$H:$N,""))</f>
        <v>Question 6.5</v>
      </c>
      <c r="E43" s="348" t="str">
        <f>_xlfn.CONCAT(_xlfn.XLOOKUP("[S13_AnyOtherIssues][37][OtherInformationOrIssues]",Submission!$O:$O,Submission!$H:$N,""))</f>
        <v>1. und 2. Zeile: 100% der Emissionsberichte durchläuft die zentrale elektronische Prüfung. Diese geht über Vollständigkeit und Konsistenz weit hinaus, sie umfasst auch einen standardisierten Abgleich mit dem Überwachungsplan. Zeile 5: Aufgrund der aktuellen Arbeitsbelastung durch den Beginn der 4. Handelsperiode wurden keine zentralen Vorgaben an die Fachgebiete adressiert, sondern nur die aus der zentralen elektronischen Vorprüfung als auffällig markierten Emissionsberichte zur vertieften Prüfung weitergereicht. Deren Auswertung lag zum Zeitpunkt des Berichts noch nicht vor. 
Zeile 7 und 8: Eine grundsätzliche Ablehnung von Emissionsberichten erfolgt nicht. Vor der konservativen Schätzung erhält jeder Betreiber die Möglichkeit der Selbstkorrektur, die dann durch die DEHSt nochmals geprüft wird. Eine Schätzung der Emissionen durch die DEHSt erfolgt nur in Ausnahmefällen.</v>
      </c>
      <c r="F43" s="348"/>
      <c r="G43" s="348"/>
      <c r="H43" s="348"/>
      <c r="I43" s="285"/>
    </row>
    <row r="44" spans="3:9" ht="27" hidden="1" customHeight="1" outlineLevel="1" x14ac:dyDescent="0.3">
      <c r="C44" s="558"/>
      <c r="D44" s="161" t="str">
        <f>_xlfn.CONCAT(_xlfn.XLOOKUP("[S13_AnyOtherIssues][38][QuestionnaireSubQuestion]",Submission!$O:$O,Submission!$H:$N,""))</f>
        <v>Question 6.6</v>
      </c>
      <c r="E44" s="348" t="str">
        <f>_xlfn.CONCAT(_xlfn.XLOOKUP("[S13_AnyOtherIssues][38][OtherInformationOrIssues]",Submission!$O:$O,Submission!$H:$N,""))</f>
        <v>Das ist die Anzahl der Anlagen, bei denen auf eine Standortbegehung durch die Prüfstellen verzichtet wurde.</v>
      </c>
      <c r="F44" s="348"/>
      <c r="G44" s="348"/>
      <c r="H44" s="348"/>
      <c r="I44" s="285"/>
    </row>
    <row r="45" spans="3:9" ht="27" hidden="1" customHeight="1" outlineLevel="1" x14ac:dyDescent="0.3">
      <c r="C45" s="558"/>
      <c r="D45" s="161" t="str">
        <f>_xlfn.CONCAT(_xlfn.XLOOKUP("[S13_AnyOtherIssues][39][QuestionnaireSubQuestion]",Submission!$O:$O,Submission!$H:$N,""))</f>
        <v>Question 6.7</v>
      </c>
      <c r="E45" s="348" t="str">
        <f>_xlfn.CONCAT(_xlfn.XLOOKUP("[S13_AnyOtherIssues][39][OtherInformationOrIssues]",Submission!$O:$O,Submission!$H:$N,""))</f>
        <v>Die Auswertung konnte dieses Jahr nicht vorgenommen werden.</v>
      </c>
      <c r="F45" s="348"/>
      <c r="G45" s="348"/>
      <c r="H45" s="348"/>
      <c r="I45" s="285"/>
    </row>
    <row r="46" spans="3:9" ht="27" hidden="1" customHeight="1" outlineLevel="1" x14ac:dyDescent="0.3">
      <c r="C46" s="558"/>
      <c r="D46" s="161" t="str">
        <f>_xlfn.CONCAT(_xlfn.XLOOKUP("[S13_AnyOtherIssues][40][QuestionnaireSubQuestion]",Submission!$O:$O,Submission!$H:$N,""))</f>
        <v>Question 6.11</v>
      </c>
      <c r="E46" s="348" t="str">
        <f>_xlfn.CONCAT(_xlfn.XLOOKUP("[S13_AnyOtherIssues][40][OtherInformationOrIssues]",Submission!$O:$O,Submission!$H:$N,""))</f>
        <v>Die Auswertung konnte dieses Jahr nicht vorgenommen werden.</v>
      </c>
      <c r="F46" s="348"/>
      <c r="G46" s="348"/>
      <c r="H46" s="348"/>
      <c r="I46" s="285"/>
    </row>
    <row r="47" spans="3:9" ht="27" hidden="1" customHeight="1" outlineLevel="1" x14ac:dyDescent="0.3">
      <c r="C47" s="558"/>
      <c r="D47" s="161" t="str">
        <f>_xlfn.CONCAT(_xlfn.XLOOKUP("[S13_AnyOtherIssues][41][QuestionnaireSubQuestion]",Submission!$O:$O,Submission!$H:$N,""))</f>
        <v>Question 6.1</v>
      </c>
      <c r="E47" s="348" t="str">
        <f>_xlfn.CONCAT(_xlfn.XLOOKUP("[S13_AnyOtherIssues][41][OtherInformationOrIssues]",Submission!$O:$O,Submission!$H:$N,""))</f>
        <v xml:space="preserve">Eine Antwort für jede Aktivität mit Untergliederung ist in diesem Jahr nicht möglich.  Bitte sehen Sie das zusätzlich angehängte Dokument.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Question 7.1</v>
      </c>
      <c r="E53" s="348" t="str">
        <f>_xlfn.CONCAT(_xlfn.XLOOKUP("[S13_AnyOtherIssues][47][OtherInformationOrIssues]",Submission!$O:$O,Submission!$H:$N,""))</f>
        <v>Die Nutzungsbedingungen stehen auf der Website, auf der die Kontoeröffnung erläutert ist und gelten durch Kontoanmeldung ohne Unterschrift (Allgemeinverfügung). Zusätzliches Dokument (pdf) der Nutzungsbedingungen wird dem Upload angehängt.</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8.8</v>
      </c>
      <c r="E56" s="348" t="str">
        <f>_xlfn.CONCAT(_xlfn.XLOOKUP("[S13_AnyOtherIssues][50][OtherInformationOrIssues]",Submission!$O:$O,Submission!$H:$N,""))</f>
        <v>Die Prüfung der Zuteilungsdatenberichte für das Jahr 2021 hat noch nicht begonnen. Ob und in wie vielen Fällen ein Testat nicht erteilt wurde, kann erst nach Import der Zuteilungsdatenberichte in die Datenbank beantwortet werden.</v>
      </c>
      <c r="F56" s="348"/>
      <c r="G56" s="348"/>
      <c r="H56" s="348"/>
      <c r="I56" s="285"/>
    </row>
    <row r="57" spans="3:9" ht="27" customHeight="1" x14ac:dyDescent="0.3">
      <c r="C57" s="558"/>
      <c r="D57" s="161" t="str">
        <f>_xlfn.CONCAT(_xlfn.XLOOKUP("[S13_AnyOtherIssues][51][QuestionnaireSubQuestion]",Submission!$O:$O,Submission!$H:$N,""))</f>
        <v>Question 8.9</v>
      </c>
      <c r="E57" s="348" t="str">
        <f>_xlfn.CONCAT(_xlfn.XLOOKUP("[S13_AnyOtherIssues][51][OtherInformationOrIssues]",Submission!$O:$O,Submission!$H:$N,""))</f>
        <v>Die Prüfung der Zuteilungsdatenberichte für das Jahr 2021 durch die DEHSt hat noch nicht begonnen/ist noch nicht abgeschlossen. Inwiefern die Angaben im Prüfbericht relevant sind, kann erst nach Abschluss dieser Prüfung beantwortet werden.</v>
      </c>
      <c r="F57" s="348"/>
      <c r="G57" s="348"/>
      <c r="H57" s="348"/>
      <c r="I57" s="285"/>
    </row>
    <row r="58" spans="3:9" ht="27" hidden="1" customHeight="1" outlineLevel="1" x14ac:dyDescent="0.3">
      <c r="C58" s="558"/>
      <c r="D58" s="161" t="str">
        <f>_xlfn.CONCAT(_xlfn.XLOOKUP("[S13_AnyOtherIssues][52][QuestionnaireSubQuestion]",Submission!$O:$O,Submission!$H:$N,""))</f>
        <v>Question 8.12</v>
      </c>
      <c r="E58" s="348" t="str">
        <f>_xlfn.CONCAT(_xlfn.XLOOKUP("[S13_AnyOtherIssues][52][OtherInformationOrIssues]",Submission!$O:$O,Submission!$H:$N,""))</f>
        <v>Die Prüfung der Zuteilungsdatenberichte für das Jahr 2021 hat noch nicht begonnen. Ob und in wie vielen Fällen ein Testat nicht erteilt wurde, kann erst nach Import der Zuteilungsdatenberichte in die Datenbank beantwortet werden.</v>
      </c>
      <c r="F58" s="348"/>
      <c r="G58" s="348"/>
      <c r="H58" s="348"/>
      <c r="I58" s="285"/>
    </row>
    <row r="59" spans="3:9" ht="27" hidden="1" customHeight="1" outlineLevel="1" x14ac:dyDescent="0.3">
      <c r="C59" s="558"/>
      <c r="D59" s="161" t="str">
        <f>_xlfn.CONCAT(_xlfn.XLOOKUP("[S13_AnyOtherIssues][53][QuestionnaireSubQuestion]",Submission!$O:$O,Submission!$H:$N,""))</f>
        <v>Question 8.13</v>
      </c>
      <c r="E59" s="348" t="str">
        <f>_xlfn.CONCAT(_xlfn.XLOOKUP("[S13_AnyOtherIssues][53][OtherInformationOrIssues]",Submission!$O:$O,Submission!$H:$N,""))</f>
        <v>Die Prüfung der Zuteilungsdatenberichte für das Jahr 2021 durch die DEHSt hat noch nicht begonnen/ist noch nicht abgeschlossen. Inwiefern die Angaben im Prüfbericht relevant sind, kann erst nach Abschluss dieser Prüfung beantwortet werden.</v>
      </c>
      <c r="F59" s="348"/>
      <c r="G59" s="348"/>
      <c r="H59" s="348"/>
      <c r="I59" s="285"/>
    </row>
    <row r="60" spans="3:9" ht="27" hidden="1" customHeight="1" outlineLevel="1" x14ac:dyDescent="0.3">
      <c r="C60" s="558"/>
      <c r="D60" s="161" t="str">
        <f>_xlfn.CONCAT(_xlfn.XLOOKUP("[S13_AnyOtherIssues][54][QuestionnaireSubQuestion]",Submission!$O:$O,Submission!$H:$N,""))</f>
        <v>Question 8.15</v>
      </c>
      <c r="E60" s="348" t="str">
        <f>_xlfn.CONCAT(_xlfn.XLOOKUP("[S13_AnyOtherIssues][54][OtherInformationOrIssues]",Submission!$O:$O,Submission!$H:$N,""))</f>
        <v xml:space="preserve">Die Auswertung konnte dieses Jahr nicht vorgenommen werden. </v>
      </c>
      <c r="F60" s="348"/>
      <c r="G60" s="348"/>
      <c r="H60" s="348"/>
      <c r="I60" s="285"/>
    </row>
    <row r="61" spans="3:9" ht="27" hidden="1" customHeight="1" outlineLevel="1" x14ac:dyDescent="0.3">
      <c r="C61" s="558"/>
      <c r="D61" s="161" t="str">
        <f>_xlfn.CONCAT(_xlfn.XLOOKUP("[S13_AnyOtherIssues][55][QuestionnaireSubQuestion]",Submission!$O:$O,Submission!$H:$N,""))</f>
        <v>Question 8.16</v>
      </c>
      <c r="E61" s="348" t="str">
        <f>_xlfn.CONCAT(_xlfn.XLOOKUP("[S13_AnyOtherIssues][55][OtherInformationOrIssues]",Submission!$O:$O,Submission!$H:$N,""))</f>
        <v xml:space="preserve">Die Auswertung konnte dieses Jahr nicht vorgenommen werden. </v>
      </c>
      <c r="F61" s="348"/>
      <c r="G61" s="348"/>
      <c r="H61" s="348"/>
      <c r="I61" s="285"/>
    </row>
    <row r="62" spans="3:9" ht="27" hidden="1" customHeight="1" outlineLevel="1" x14ac:dyDescent="0.3">
      <c r="C62" s="558"/>
      <c r="D62" s="161" t="str">
        <f>_xlfn.CONCAT(_xlfn.XLOOKUP("[S13_AnyOtherIssues][56][QuestionnaireSubQuestion]",Submission!$O:$O,Submission!$H:$N,""))</f>
        <v>Question 8.17</v>
      </c>
      <c r="E62" s="348" t="str">
        <f>_xlfn.CONCAT(_xlfn.XLOOKUP("[S13_AnyOtherIssues][56][OtherInformationOrIssues]",Submission!$O:$O,Submission!$H:$N,""))</f>
        <v>Es sind keine Bußgeldtatbestände gegen Zuteilungsverstöße im TEHG/EHV 2030 erfasst</v>
      </c>
      <c r="F62" s="348"/>
      <c r="G62" s="348"/>
      <c r="H62" s="348"/>
      <c r="I62" s="285"/>
    </row>
    <row r="63" spans="3:9" ht="27" hidden="1" customHeight="1" outlineLevel="1" x14ac:dyDescent="0.3">
      <c r="C63" s="558"/>
      <c r="D63" s="161" t="str">
        <f>_xlfn.CONCAT(_xlfn.XLOOKUP("[S13_AnyOtherIssues][57][QuestionnaireSubQuestion]",Submission!$O:$O,Submission!$H:$N,""))</f>
        <v>Question 8.18</v>
      </c>
      <c r="E63" s="348" t="str">
        <f>_xlfn.CONCAT(_xlfn.XLOOKUP("[S13_AnyOtherIssues][57][OtherInformationOrIssues]",Submission!$O:$O,Submission!$H:$N,""))</f>
        <v>Bezieht sich auf Verstöße nach Frage 8.17, daher keine Bußgelder</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Question 9.1</v>
      </c>
      <c r="E74" s="348" t="str">
        <f>_xlfn.CONCAT(_xlfn.XLOOKUP("[S13_AnyOtherIssues][68][OtherInformationOrIssues]",Submission!$O:$O,Submission!$H:$N,""))</f>
        <v>Nach der geltenden Gesetzeslage ist eine Gebührenerhebung von Betreibern für die Tätigkeiten der DEHSt aktuell nicht vorgesehen. Die zuständigen Landesbehörden erheben für die Erteilung von Genehmigungen Gebühren (siehe Kapitel 2.2). Genauere Informationen hierzu liegen der DEHSt jedoch nicht vor.</v>
      </c>
      <c r="F74" s="348"/>
      <c r="G74" s="348"/>
      <c r="H74" s="348"/>
      <c r="I74" s="285"/>
    </row>
    <row r="75" spans="3:9" ht="27" customHeight="1" x14ac:dyDescent="0.3">
      <c r="C75" s="558"/>
      <c r="D75" s="161" t="str">
        <f>_xlfn.CONCAT(_xlfn.XLOOKUP("[S13_AnyOtherIssues][69][QuestionnaireSubQuestion]",Submission!$O:$O,Submission!$H:$N,""))</f>
        <v>Question 9.3</v>
      </c>
      <c r="E75" s="348" t="str">
        <f>_xlfn.CONCAT(_xlfn.XLOOKUP("[S13_AnyOtherIssues][69][OtherInformationOrIssues]",Submission!$O:$O,Submission!$H:$N,""))</f>
        <v>Die DEHSt erhebt Gebühren von Kontoinhabern nur für die Verwaltung von Personen- und Händlerkonten im Emissionshandelsregister, nicht von den Betreibern.</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Question 10.3</v>
      </c>
      <c r="E77" s="348" t="str">
        <f>_xlfn.CONCAT(_xlfn.XLOOKUP("[S13_AnyOtherIssues][71][OtherInformationOrIssues]",Submission!$O:$O,Submission!$H:$N,""))</f>
        <v>Keine rechtskräftigen Ordnungswidrigkeitsverfahren in 2021.</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Question 11.3</v>
      </c>
      <c r="E86" s="348" t="str">
        <f>_xlfn.CONCAT(_xlfn.XLOOKUP("[S13_AnyOtherIssues][80][OtherInformationOrIssues]",Submission!$O:$O,Submission!$H:$N,""))</f>
        <v>Im Rahmen der kostenlosen Zuteilung wird keine Mehrwertsteuer erhoben. Aber die Transaktionen auf dem Sekundärmarkt unterliegen der Mehrwertsteuer.</v>
      </c>
      <c r="F86" s="348"/>
      <c r="G86" s="348"/>
      <c r="H86" s="348"/>
      <c r="I86" s="285"/>
    </row>
    <row r="87" spans="1:9" ht="27" customHeight="1" x14ac:dyDescent="0.3">
      <c r="C87" s="558"/>
      <c r="D87" s="161" t="str">
        <f>_xlfn.CONCAT(_xlfn.XLOOKUP("[S13_AnyOtherIssues][81][QuestionnaireSubQuestion]",Submission!$O:$O,Submission!$H:$N,""))</f>
        <v>Question 11.4</v>
      </c>
      <c r="E87" s="348" t="str">
        <f>_xlfn.CONCAT(_xlfn.XLOOKUP("[S13_AnyOtherIssues][81][OtherInformationOrIssues]",Submission!$O:$O,Submission!$H:$N,""))</f>
        <v>Der Gewinn und Verlust, der aus dem Handel mit Emissionsberechtigungen entsteht, ist im Rahmen der Einkommensteuer oder Körperschaftsteuer (je nach Rechtsform des Unternehmens) und der Gewerbesteuer steuerpflichtig.
Trade tax (Gewerbesteuer): Durchschnittlich ca. 14% (abhängig vom Hebesatz der Betriebsstättenkommune)
Corporate income tax (Körperschaftsteuer): 15% zuzüglich Solidaritätszuschlag
Other Income tax (Einkommensteuer): Individueller Einkommensteuersatz zuzüglich Solidaritätszuschlag</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DEHSt</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Landes- / Kommunalbehörden</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Bundesministerium für Wirtschaft und Klimaschutz</v>
      </c>
      <c r="F5" s="241"/>
      <c r="G5" s="241"/>
      <c r="H5" s="241"/>
      <c r="I5" s="242"/>
    </row>
    <row r="6" spans="1:9" s="69" customFormat="1" ht="14.4" x14ac:dyDescent="0.3">
      <c r="A6" s="68"/>
      <c r="C6" s="238" t="s">
        <v>654</v>
      </c>
      <c r="D6" s="239"/>
      <c r="E6" s="240" t="str">
        <f>_xlfn.CONCAT(_xlfn.XLOOKUP("[S01_InstitutionDetails][0][ContactPersonName]",Submission!$O:$O,Submission!$H:$N,""))</f>
        <v>Hanna Arnold</v>
      </c>
      <c r="F6" s="241"/>
      <c r="G6" s="241"/>
      <c r="H6" s="241"/>
      <c r="I6" s="242"/>
    </row>
    <row r="7" spans="1:9" s="69" customFormat="1" ht="14.4" x14ac:dyDescent="0.3">
      <c r="A7" s="68"/>
      <c r="C7" s="238" t="s">
        <v>655</v>
      </c>
      <c r="D7" s="239"/>
      <c r="E7" s="240" t="str">
        <f>_xlfn.CONCAT(_xlfn.XLOOKUP("[S01_InstitutionDetails][0][ContactPersonJobTitle]",Submission!$O:$O,Submission!$H:$N,""))</f>
        <v>Referat AG KB2 "Klimaschutzgesetz, Emissionshandel"</v>
      </c>
      <c r="F7" s="241"/>
      <c r="G7" s="241"/>
      <c r="H7" s="241"/>
      <c r="I7" s="242"/>
    </row>
    <row r="8" spans="1:9" s="69" customFormat="1" ht="14.4" x14ac:dyDescent="0.3">
      <c r="A8" s="68"/>
      <c r="C8" s="238" t="s">
        <v>656</v>
      </c>
      <c r="D8" s="239"/>
      <c r="E8" s="240" t="str">
        <f>_xlfn.CONCAT(_xlfn.XLOOKUP("[S01_InstitutionDetails][0][Address]",Submission!$O:$O,Submission!$H:$N,""))</f>
        <v>Scharnhorststr. 34-37, 10115 Berlin</v>
      </c>
      <c r="F8" s="241"/>
      <c r="G8" s="241"/>
      <c r="H8" s="241"/>
      <c r="I8" s="242"/>
    </row>
    <row r="9" spans="1:9" s="69" customFormat="1" ht="14.4" x14ac:dyDescent="0.3">
      <c r="A9" s="68"/>
      <c r="C9" s="238" t="s">
        <v>657</v>
      </c>
      <c r="D9" s="239"/>
      <c r="E9" s="243" t="str">
        <f>_xlfn.CONCAT(_xlfn.XLOOKUP("[S01_InstitutionDetails][0][InternationalTelephoneNumber]",Submission!$O:$O,Submission!$H:$N,""))</f>
        <v>49(30)186155087</v>
      </c>
      <c r="F9" s="244"/>
      <c r="G9" s="244"/>
      <c r="H9" s="244"/>
      <c r="I9" s="245"/>
    </row>
    <row r="10" spans="1:9" s="69" customFormat="1" ht="14.4" x14ac:dyDescent="0.3">
      <c r="A10" s="68"/>
      <c r="C10" s="238" t="s">
        <v>658</v>
      </c>
      <c r="D10" s="239"/>
      <c r="E10" s="247" t="str">
        <f>_xlfn.CONCAT(_xlfn.XLOOKUP("[S01_InstitutionDetails][0][EMail]",Submission!$O:$O,Submission!$H:$N,""))</f>
        <v>hanna.arnold@bmwk.bund.de</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Deutsche Emissionshandelsstelle im Umweltbundesamt</v>
      </c>
      <c r="D7" s="72" t="str">
        <f>_xlfn.CONCAT(_xlfn.XLOOKUP("[S02_CompetentAuthority][1][CAAbbreviation]",Submission!$O:$O,Submission!$H:$N,""))</f>
        <v>DEHSt</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+49 (0)30 8903-5050</v>
      </c>
      <c r="H7" s="83" t="str">
        <f>_xlfn.CONCAT(_xlfn.XLOOKUP("[S02_CompetentAuthority][1][CAEmail]",Submission!$O:$O,Submission!$H:$N,""))</f>
        <v>www.dehst.de</v>
      </c>
      <c r="I7" s="72" t="str">
        <f>_xlfn.CONCAT(_xlfn.XLOOKUP("[S02_CompetentAuthority][1][CAWebsite]",Submission!$O:$O,Submission!$H:$N,""))</f>
        <v/>
      </c>
      <c r="J7" s="79"/>
    </row>
    <row r="8" spans="1:11" s="58" customFormat="1" ht="15.9" customHeight="1" x14ac:dyDescent="0.3">
      <c r="B8" s="79"/>
      <c r="C8" s="71" t="str">
        <f>_xlfn.CONCAT(_xlfn.XLOOKUP("[S02_CompetentAuthority][2][CAName]",Submission!$O:$O,Submission!$H:$N,""))</f>
        <v>Diverse Landes- und zum Teil Kommunalbehörden; nach nationalem Recht liegt die Zuständigkeit für die Emissionsgenehmigung bei den für die immissionsschutzrechtliche Genehmigung zuständigen Behörden, die Länder selbst haben davon teilweise abweichende Zuständigkeitsregelungen getroffen</v>
      </c>
      <c r="D8" s="72" t="str">
        <f>_xlfn.CONCAT(_xlfn.XLOOKUP("[S02_CompetentAuthority][2][CAAbbreviation]",Submission!$O:$O,Submission!$H:$N,""))</f>
        <v>Landes- / Kommunalbehörden</v>
      </c>
      <c r="E8" s="72" t="str">
        <f>_xlfn.CONCAT(_xlfn.XLOOKUP("[S02_CompetentAuthority][2][CAType]",Submission!$O:$O,Submission!$H:$N,""))</f>
        <v>Regional competent authority</v>
      </c>
      <c r="F8" s="105" t="str">
        <f>_xlfn.CONCAT(_xlfn.XLOOKUP("[S02_CompetentAuthority][2][CANumber]",Submission!$O:$O,Submission!$H:$N,""))</f>
        <v/>
      </c>
      <c r="G8" s="172" t="str">
        <f>_xlfn.CONCAT(_xlfn.XLOOKUP("[S02_CompetentAuthority][2][CATelephone]",Submission!$O:$O,Submission!$H:$N,""))</f>
        <v/>
      </c>
      <c r="H8" s="83" t="str">
        <f>_xlfn.CONCAT(_xlfn.XLOOKUP("[S02_CompetentAuthority][2][CAEmail]",Submission!$O:$O,Submission!$H:$N,""))</f>
        <v/>
      </c>
      <c r="I8" s="72" t="str">
        <f>_xlfn.CONCAT(_xlfn.XLOOKUP("[S02_CompetentAuthority][2][CAWebsite]",Submission!$O:$O,Submission!$H:$N,""))</f>
        <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Deutsche Akkreditierungsstelle GmbH</v>
      </c>
      <c r="D39" s="268"/>
      <c r="E39" s="72" t="str">
        <f>_xlfn.CONCAT(_xlfn.XLOOKUP("[S02_AccreditationBody][1][AccBodyAbbreviation]",Submission!$O:$O,Submission!$H:$N,""))</f>
        <v>DAkkS</v>
      </c>
      <c r="F39" s="172" t="str">
        <f>_xlfn.CONCAT(_xlfn.XLOOKUP("[S02_AccreditationBody][1][AccBodyTelephone]",Submission!$O:$O,Submission!$H:$N,""))</f>
        <v>+49 (0)69 610943-0</v>
      </c>
      <c r="G39" s="77" t="str">
        <f>_xlfn.CONCAT(_xlfn.XLOOKUP("[S02_AccreditationBody][1][AccBodyEmail]",Submission!$O:$O,Submission!$H:$N,""))</f>
        <v>kontakt@dakks.de</v>
      </c>
      <c r="H39" s="255" t="str">
        <f>_xlfn.CONCAT(_xlfn.XLOOKUP("[S02_AccreditationBody][1][AccBodyWebsite]",Submission!$O:$O,Submission!$H:$N,""))</f>
        <v>www.dakks.de</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Yes</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Deutschen Akkreditierungs- und Zulassungsgesellschaft für Umweltgutachter mbH</v>
      </c>
      <c r="D45" s="268"/>
      <c r="E45" s="72" t="str">
        <f>_xlfn.CONCAT(_xlfn.XLOOKUP("[S02_CertificationAuthExistsDetails][1][CertAuthAbbreviation]",Submission!$O:$O,Submission!$H:$N,""))</f>
        <v>DAU</v>
      </c>
      <c r="F45" s="172" t="str">
        <f>_xlfn.CONCAT(_xlfn.XLOOKUP("[S02_CertificationAuthExistsDetails][1][CertAuthTelephone]",Submission!$O:$O,Submission!$H:$N,""))</f>
        <v>+49 (0)228 280 52-0</v>
      </c>
      <c r="G45" s="77" t="str">
        <f>_xlfn.CONCAT(_xlfn.XLOOKUP("[S02_CertificationAuthExistsDetails][1][CertAuthEmail]",Submission!$O:$O,Submission!$H:$N,""))</f>
        <v>info@dau-bonn.de</v>
      </c>
      <c r="H45" s="255" t="str">
        <f>_xlfn.CONCAT(_xlfn.XLOOKUP("[S02_CertificationAuthExistsDetails][1][CertAuthWebsite]",Submission!$O:$O,Submission!$H:$N,""))</f>
        <v>www.dau-bonn.de</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Deutsche Emissionshandelsstelle im Umweltbundesamt</v>
      </c>
      <c r="D49" s="268"/>
      <c r="E49" s="72" t="str">
        <f>_xlfn.CONCAT(_xlfn.XLOOKUP("[S02_RegistryAdministrator][1][RegAdminAbbreviation]",Submission!$O:$O,Submission!$H:$N,""))</f>
        <v>DEHSt</v>
      </c>
      <c r="F49" s="172" t="str">
        <f>_xlfn.CONCAT(_xlfn.XLOOKUP("[S02_RegistryAdministrator][1][RegAdminTelephone]",Submission!$O:$O,Submission!$H:$N,""))</f>
        <v>+49 (0)30 8903-5240</v>
      </c>
      <c r="G49" s="77" t="str">
        <f>_xlfn.CONCAT(_xlfn.XLOOKUP("[S02_RegistryAdministrator][1][RegAdminEmail]",Submission!$O:$O,Submission!$H:$N,""))</f>
        <v>emissionshandel@dehst.de</v>
      </c>
      <c r="H49" s="255" t="str">
        <f>_xlfn.CONCAT(_xlfn.XLOOKUP("[S02_RegistryAdministrator][1][RegAdminWebsite]",Submission!$O:$O,Submission!$H:$N,""))</f>
        <v>www.dehst.de</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Landes- / Kommunalbehörden</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DEHSt</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DEHSt</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DEHSt</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DEHSt</v>
      </c>
      <c r="I58" s="252"/>
    </row>
    <row r="59" spans="1:9" s="79" customFormat="1" ht="28.95" customHeight="1" x14ac:dyDescent="0.3">
      <c r="A59" s="78"/>
      <c r="C59" s="238" t="s">
        <v>691</v>
      </c>
      <c r="D59" s="263"/>
      <c r="E59" s="264"/>
      <c r="F59" s="251" t="str">
        <f>_xlfn.CONCAT(_xlfn.XLOOKUP("[S02_CompetentAuthorityRoles][6][CAForInstallationTask]",Submission!$O:$O,Submission!$H:$N,""))</f>
        <v>DEHSt</v>
      </c>
      <c r="G59" s="252"/>
      <c r="H59" s="251" t="str">
        <f>_xlfn.CONCAT(_xlfn.XLOOKUP("[S02_CompetentAuthorityRoles][6][CAForAviationTask]",Submission!$O:$O,Submission!$H:$N,""))</f>
        <v>DEHSt</v>
      </c>
      <c r="I59" s="252"/>
    </row>
    <row r="60" spans="1:9" s="79" customFormat="1" ht="28.95" customHeight="1" x14ac:dyDescent="0.3">
      <c r="A60" s="78"/>
      <c r="C60" s="238" t="s">
        <v>42</v>
      </c>
      <c r="D60" s="263"/>
      <c r="E60" s="264"/>
      <c r="F60" s="251" t="str">
        <f>_xlfn.CONCAT(_xlfn.XLOOKUP("[S02_CompetentAuthorityRoles][7][CAForInstallationTask]",Submission!$O:$O,Submission!$H:$N,""))</f>
        <v>DEHSt</v>
      </c>
      <c r="G60" s="252"/>
      <c r="H60" s="251" t="str">
        <f>_xlfn.CONCAT(_xlfn.XLOOKUP("[S02_CompetentAuthorityRoles][7][CAForAviationTask]",Submission!$O:$O,Submission!$H:$N,""))</f>
        <v>DEHSt</v>
      </c>
      <c r="I60" s="252"/>
    </row>
    <row r="61" spans="1:9" s="79" customFormat="1" ht="28.95" customHeight="1" x14ac:dyDescent="0.3">
      <c r="A61" s="78"/>
      <c r="C61" s="238" t="s">
        <v>692</v>
      </c>
      <c r="D61" s="263"/>
      <c r="E61" s="264"/>
      <c r="F61" s="251" t="str">
        <f>_xlfn.CONCAT(_xlfn.XLOOKUP("[S02_CompetentAuthorityRoles][8][CAForInstallationTask]",Submission!$O:$O,Submission!$H:$N,""))</f>
        <v>DEHSt</v>
      </c>
      <c r="G61" s="252"/>
      <c r="H61" s="251" t="str">
        <f>_xlfn.CONCAT(_xlfn.XLOOKUP("[S02_CompetentAuthorityRoles][8][CAForAviationTask]",Submission!$O:$O,Submission!$H:$N,""))</f>
        <v>DEHSt</v>
      </c>
      <c r="I61" s="252"/>
    </row>
    <row r="62" spans="1:9" s="79" customFormat="1" ht="28.95" customHeight="1" x14ac:dyDescent="0.3">
      <c r="A62" s="78"/>
      <c r="C62" s="238" t="s">
        <v>693</v>
      </c>
      <c r="D62" s="263"/>
      <c r="E62" s="264"/>
      <c r="F62" s="251" t="str">
        <f>_xlfn.CONCAT(_xlfn.XLOOKUP("[S02_CompetentAuthorityRoles][9][CAForInstallationTask]",Submission!$O:$O,Submission!$H:$N,""))</f>
        <v>DEHSt</v>
      </c>
      <c r="G62" s="252"/>
      <c r="H62" s="251" t="str">
        <f>_xlfn.CONCAT(_xlfn.XLOOKUP("[S02_CompetentAuthorityRoles][9][CAForAviationTask]",Submission!$O:$O,Submission!$H:$N,""))</f>
        <v>DEHSt</v>
      </c>
      <c r="I62" s="252"/>
    </row>
    <row r="63" spans="1:9" s="79" customFormat="1" ht="28.95" customHeight="1" x14ac:dyDescent="0.3">
      <c r="A63" s="78"/>
      <c r="C63" s="238" t="s">
        <v>694</v>
      </c>
      <c r="D63" s="263"/>
      <c r="E63" s="264"/>
      <c r="F63" s="251" t="str">
        <f>_xlfn.CONCAT(_xlfn.XLOOKUP("[S02_CompetentAuthorityRoles][10][CAForInstallationTask]",Submission!$O:$O,Submission!$H:$N,""))</f>
        <v>DEHSt</v>
      </c>
      <c r="G63" s="252"/>
      <c r="H63" s="251" t="str">
        <f>_xlfn.CONCAT(_xlfn.XLOOKUP("[S02_CompetentAuthorityRoles][10][CAForAviationTask]",Submission!$O:$O,Submission!$H:$N,""))</f>
        <v>DEHSt</v>
      </c>
      <c r="I63" s="252"/>
    </row>
    <row r="64" spans="1:9" s="79" customFormat="1" ht="28.95" customHeight="1" x14ac:dyDescent="0.3">
      <c r="A64" s="78"/>
      <c r="C64" s="238" t="s">
        <v>46</v>
      </c>
      <c r="D64" s="263"/>
      <c r="E64" s="264"/>
      <c r="F64" s="251" t="str">
        <f>_xlfn.CONCAT(_xlfn.XLOOKUP("[S02_CompetentAuthorityRoles][11][CAForInstallationTask]",Submission!$O:$O,Submission!$H:$N,""))</f>
        <v>DEHSt</v>
      </c>
      <c r="G64" s="252"/>
      <c r="H64" s="251" t="str">
        <f>_xlfn.CONCAT(_xlfn.XLOOKUP("[S02_CompetentAuthorityRoles][11][CAForAviationTask]",Submission!$O:$O,Submission!$H:$N,""))</f>
        <v>DEHSt</v>
      </c>
      <c r="I64" s="252"/>
    </row>
    <row r="65" spans="1:9" s="79" customFormat="1" ht="28.95" customHeight="1" x14ac:dyDescent="0.3">
      <c r="A65" s="78"/>
      <c r="C65" s="238" t="s">
        <v>695</v>
      </c>
      <c r="D65" s="263"/>
      <c r="E65" s="264"/>
      <c r="F65" s="251" t="str">
        <f>_xlfn.CONCAT(_xlfn.XLOOKUP("[S02_CompetentAuthorityRoles][12][CAForInstallationTask]",Submission!$O:$O,Submission!$H:$N,""))</f>
        <v>DEHSt</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DEHSt</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Deutsche Emissionshandelsstelle im Umweltbundesamt</v>
      </c>
      <c r="D82" s="286"/>
      <c r="E82" s="286"/>
      <c r="F82" s="286"/>
      <c r="G82" s="286" t="str">
        <f>_xlfn.CONCAT(_xlfn.XLOOKUP("[S02_CAFocalPoint][0][CAArt70Abbrev]",Submission!$O:$O,Submission!$H:$N,""))</f>
        <v>DEHSt</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Die Überprüfung erfolgt nur von der DEHSt</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wie zuvor</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Wie zuvor, ergänzender Informationsaustausch (1-2 mal jährlich) zwischen DEHSt und den Bundesländern</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aufgrund klarer rechtlicher Zuständigkeitstrennung nicht relevant</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Wie zuvor.</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Yes</v>
      </c>
      <c r="H100" s="281" t="str">
        <f>_xlfn.CONCAT(_xlfn.XLOOKUP("[S02_InformationExchangeAccBodyAndCA][1][InfoExchangeComment]",Submission!$O:$O,Submission!$H:$N,""))</f>
        <v>Es finden regelmäßige Treffen unmittelbar zwischen DAkkS und DEHSt statt. Abgesehen von den Treffen findet ein permanenter Informationsaustausch per Telefon und E-Mail statt.</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Yes</v>
      </c>
      <c r="H101" s="281" t="str">
        <f>_xlfn.CONCAT(_xlfn.XLOOKUP("[S02_InformationExchangeAccBodyAndCA][2][InfoExchangeComment]",Submission!$O:$O,Submission!$H:$N,""))</f>
        <v xml:space="preserve">Die DEHSt wirkt im „Sektorkomitee Emissionshandel“ der DAkkS mit, in dem alle in dieser Frage genannten Stellen vertreten sind. 
Zudem findet zwischen DEHSt, DAkkS und Prüfstellen jährlich eine Veranstaltung zum Informationsaustausch statt.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xml:space="preserve">Es besteht die Möglichkeit der Hospitation von Mitarbeitern der DEHSt bei Audits. Zwischen DEHSt und DAkkS ist vereinbart, dass Mitarbeitende der DEHSt als unabhängige und weisungsfreie Begutachter unter Verantwortung der DAkkS tätig sein können.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1732</v>
      </c>
      <c r="H7" s="334"/>
      <c r="I7" s="335"/>
    </row>
    <row r="8" spans="1:9" s="7" customFormat="1" ht="15" customHeight="1" x14ac:dyDescent="0.3">
      <c r="A8" s="8"/>
      <c r="C8" s="320" t="s">
        <v>727</v>
      </c>
      <c r="D8" s="331"/>
      <c r="E8" s="331"/>
      <c r="F8" s="332"/>
      <c r="G8" s="333" t="str">
        <f>_xlfn.CONCAT(_xlfn.XLOOKUP("[S03_EmittingInstallations][2][NumberOfInstallations]",Submission!$O:$O,Submission!$H:$N,""))</f>
        <v>1196</v>
      </c>
      <c r="H8" s="334"/>
      <c r="I8" s="335"/>
    </row>
    <row r="9" spans="1:9" s="7" customFormat="1" ht="15" customHeight="1" x14ac:dyDescent="0.3">
      <c r="A9" s="8"/>
      <c r="C9" s="320" t="s">
        <v>728</v>
      </c>
      <c r="D9" s="331"/>
      <c r="E9" s="331"/>
      <c r="F9" s="332"/>
      <c r="G9" s="333" t="str">
        <f>_xlfn.CONCAT(_xlfn.XLOOKUP("[S03_EmittingInstallations][3][NumberOfInstallations]",Submission!$O:$O,Submission!$H:$N,""))</f>
        <v>408</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128</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927</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Yes</v>
      </c>
      <c r="I17" s="297"/>
    </row>
    <row r="18" spans="3:9" s="11" customFormat="1" ht="14.4" x14ac:dyDescent="0.3">
      <c r="C18" s="300" t="s">
        <v>736</v>
      </c>
      <c r="D18" s="301"/>
      <c r="E18" s="301"/>
      <c r="F18" s="301"/>
      <c r="G18" s="302"/>
      <c r="H18" s="296" t="str">
        <f>_xlfn.CONCAT(_xlfn.XLOOKUP("[S03_ActivityPermits][4][ActivityPermitsIssued]",Submission!$O:$O,Submission!$H:$N,""))</f>
        <v>Yes</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Yes</v>
      </c>
      <c r="I22" s="297"/>
    </row>
    <row r="23" spans="3:9" s="11" customFormat="1" ht="14.4" x14ac:dyDescent="0.3">
      <c r="C23" s="300" t="s">
        <v>741</v>
      </c>
      <c r="D23" s="301"/>
      <c r="E23" s="301"/>
      <c r="F23" s="301"/>
      <c r="G23" s="302"/>
      <c r="H23" s="296" t="str">
        <f>_xlfn.CONCAT(_xlfn.XLOOKUP("[S03_ActivityPermits][9][ActivityPermitsIssued]",Submission!$O:$O,Submission!$H:$N,""))</f>
        <v>Yes</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Yes</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Yes</v>
      </c>
      <c r="I34" s="297"/>
    </row>
    <row r="35" spans="1:9" s="11" customFormat="1" ht="14.4" x14ac:dyDescent="0.3">
      <c r="C35" s="300" t="s">
        <v>753</v>
      </c>
      <c r="D35" s="301"/>
      <c r="E35" s="301"/>
      <c r="F35" s="301"/>
      <c r="G35" s="302"/>
      <c r="H35" s="296" t="str">
        <f>_xlfn.CONCAT(_xlfn.XLOOKUP("[S03_ActivityPermits][21][ActivityPermitsIssued]",Submission!$O:$O,Submission!$H:$N,""))</f>
        <v>Yes</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Yes</v>
      </c>
      <c r="I37" s="297"/>
    </row>
    <row r="38" spans="1:9" s="11" customFormat="1" ht="15" x14ac:dyDescent="0.3">
      <c r="C38" s="300" t="s">
        <v>756</v>
      </c>
      <c r="D38" s="301"/>
      <c r="E38" s="301"/>
      <c r="F38" s="301"/>
      <c r="G38" s="302"/>
      <c r="H38" s="296" t="str">
        <f>_xlfn.CONCAT(_xlfn.XLOOKUP("[S03_ActivityPermits][24][ActivityPermitsIssued]",Submission!$O:$O,Submission!$H:$N,""))</f>
        <v>Yes</v>
      </c>
      <c r="I38" s="297"/>
    </row>
    <row r="39" spans="1:9" s="11" customFormat="1" ht="15" x14ac:dyDescent="0.3">
      <c r="C39" s="300" t="s">
        <v>757</v>
      </c>
      <c r="D39" s="301"/>
      <c r="E39" s="301"/>
      <c r="F39" s="301"/>
      <c r="G39" s="302"/>
      <c r="H39" s="296" t="str">
        <f>_xlfn.CONCAT(_xlfn.XLOOKUP("[S03_ActivityPermits][25][ActivityPermitsIssued]",Submission!$O:$O,Submission!$H:$N,""))</f>
        <v>Yes</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v>
      </c>
      <c r="D51" s="298"/>
      <c r="E51" s="299"/>
      <c r="F51" s="306" t="str">
        <f>_xlfn.CONCAT(_xlfn.XLOOKUP("[S03_InstallationsExcludedArt27Detail][1][InstallationsExcludedEmissions]",Submission!$O:$O,Submission!$H:$N,""))</f>
        <v>150000</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0</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53</v>
      </c>
      <c r="H64" s="132" t="str">
        <f>_xlfn.CONCAT(_xlfn.XLOOKUP("[S03_AircraftAnnex1Activities][1][NumberNonCommercialOperators]",Submission!$O:$O,Submission!$H:$N,""))</f>
        <v/>
      </c>
      <c r="I64" s="132" t="str">
        <f>_xlfn.CONCAT(_xlfn.XLOOKUP("[S03_AircraftAnnex1Activities][1][NumberTotalOperators]",Submission!$O:$O,Submission!$H:$N,""))</f>
        <v>53</v>
      </c>
    </row>
    <row r="65" spans="3:9" ht="15.9" customHeight="1" x14ac:dyDescent="0.3">
      <c r="C65" s="311" t="s">
        <v>782</v>
      </c>
      <c r="D65" s="312"/>
      <c r="E65" s="312"/>
      <c r="F65" s="313"/>
      <c r="G65" s="132" t="str">
        <f>_xlfn.CONCAT(_xlfn.XLOOKUP("[S03_AircraftAnnex1Activities][2][NumberCommercialOperators]",Submission!$O:$O,Submission!$H:$N,""))</f>
        <v>4</v>
      </c>
      <c r="H65" s="132" t="str">
        <f>_xlfn.CONCAT(_xlfn.XLOOKUP("[S03_AircraftAnnex1Activities][2][NumberNonCommercialOperators]",Submission!$O:$O,Submission!$H:$N,""))</f>
        <v>11</v>
      </c>
      <c r="I65" s="132" t="str">
        <f>_xlfn.CONCAT(_xlfn.XLOOKUP("[S03_AircraftAnnex1Activities][2][NumberTotalOperators]",Submission!$O:$O,Submission!$H:$N,""))</f>
        <v>15</v>
      </c>
    </row>
    <row r="66" spans="3:9" ht="15.9" customHeight="1" x14ac:dyDescent="0.3">
      <c r="C66" s="311" t="s">
        <v>780</v>
      </c>
      <c r="D66" s="312"/>
      <c r="E66" s="312"/>
      <c r="F66" s="313"/>
      <c r="G66" s="132" t="str">
        <f>_xlfn.CONCAT(_xlfn.XLOOKUP("[S03_AircraftAnnex1Activities][3][NumberCommercialOperators]",Submission!$O:$O,Submission!$H:$N,""))</f>
        <v>57</v>
      </c>
      <c r="H66" s="132" t="str">
        <f>_xlfn.CONCAT(_xlfn.XLOOKUP("[S03_AircraftAnnex1Activities][3][NumberNonCommercialOperators]",Submission!$O:$O,Submission!$H:$N,""))</f>
        <v>11</v>
      </c>
      <c r="I66" s="132" t="str">
        <f>_xlfn.CONCAT(_xlfn.XLOOKUP("[S03_AircraftAnnex1Activities][3][NumberTotalOperators]",Submission!$O:$O,Submission!$H:$N,""))</f>
        <v>68</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Yes</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Yes</v>
      </c>
      <c r="H13" s="284" t="str">
        <f>_xlfn.CONCAT(_xlfn.XLOOKUP("[S04_IEDProcedureRequirementsIntegratedYes][6][IntegrationComments]",Submission!$O:$O,Submission!$H:$N,""))</f>
        <v>Die DEHSt nimmt bei Bedarf (z.B. bei Unklarheiten anlässlich einer Änderung des Anlagenumfangs) Rücksprache mit den Genehmigungsbehörden der Länder.</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No</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Yes</v>
      </c>
      <c r="H15" s="284" t="str">
        <f>_xlfn.CONCAT(_xlfn.XLOOKUP("[S04_IEDProcedureRequirementsIntegratedYes][8][IntegrationComments]",Submission!$O:$O,Submission!$H:$N,""))</f>
        <v>Für Anlagen, die vor dem 1. Januar 2013 nach den Vorschriften des Bundes-Immissionsschutzgesetzes genehmigt wurden (Altanlagen) gilt die IED-Genehmigung als Emissionsgenehmigung. Betreiber von Altanlagen können allerdings eine gesonderte Emissionsgenehmigung beantragen (z.B. zur Klarstellung von Anlagenabgrenzung und Anwendungsbereich bzgl. Rechtssicherheit). Neuanlagenbetreiber erhalten mit der IED-Genehmigung eine Emissionsgenehmigung. 
Der Gesetzgeber hat in Deutschland die Zuständigkeit für die Emissionsgenehmigung auf die für die immissionsschutzrechtliche Genehmigung, d.h. IED zuständigen Behörden übertragen. Die Länder selbst haben davon teilweise abweichende Zuständigkeitsregeln getroffen. Die Zuständigkeit für die Genehmigung der Überwachungspläne wurde der DEHSt übertragen. Länder und DEHSt beteiligen sich gegenseitig an den EHS-Genehmigungsverfahren.
Die Kontrolle bzw. Inspektion der Tätigkeiten im Rahmen des EU-EHS wird von der DEHSt durchgeführt, Länderbehörden werden ggf. auf Einladung einbezogen.</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Die Genehmigung kann (und muss in Gefahrensituationen) entzogen/ausgesetzt werden, wenn Betreiber Auflagen oder Rechtsvorschriften missachten.</v>
      </c>
      <c r="H19" s="345"/>
      <c r="I19" s="346"/>
    </row>
    <row r="20" spans="1:9" ht="15.9" customHeight="1" x14ac:dyDescent="0.3">
      <c r="C20" s="320" t="s">
        <v>797</v>
      </c>
      <c r="D20" s="321"/>
      <c r="E20" s="321"/>
      <c r="F20" s="343"/>
      <c r="G20" s="344" t="str">
        <f>_xlfn.CONCAT(_xlfn.XLOOKUP("[S04_NationalLawPermitUpdate][2][PermitUpdateNationalLawDetail]",Submission!$O:$O,Submission!$H:$N,""))</f>
        <v>Grundsätzlich nein, allerdings erlischt die Genehmigung, wenn der Betreiber nicht binnen einer von der Behörde bestimmten Frist mit dem Bau bzw. Betrieb der Anlage beginnt oder wenn die Anlage mehr als drei Jahre nicht betrieben wird.</v>
      </c>
      <c r="H20" s="345"/>
      <c r="I20" s="346"/>
    </row>
    <row r="21" spans="1:9" ht="15.9" customHeight="1" x14ac:dyDescent="0.3">
      <c r="C21" s="320" t="s">
        <v>134</v>
      </c>
      <c r="D21" s="321"/>
      <c r="E21" s="321"/>
      <c r="F21" s="343"/>
      <c r="G21" s="344" t="str">
        <f>_xlfn.CONCAT(_xlfn.XLOOKUP("[S04_NationalLawPermitUpdate][3][PermitUpdateNationalLawDetail]",Submission!$O:$O,Submission!$H:$N,""))</f>
        <v>Wenn mit der Kapazitätssteigerung erhebliche Umweltauswirkungen verbunden sein können oder gesetzlich festgeschriebene Schwellenwerte für die Leistung der Anlage überschritten werden.</v>
      </c>
      <c r="H21" s="345"/>
      <c r="I21" s="346"/>
    </row>
    <row r="22" spans="1:9" ht="15.9" customHeight="1" x14ac:dyDescent="0.3">
      <c r="C22" s="320" t="s">
        <v>136</v>
      </c>
      <c r="D22" s="321"/>
      <c r="E22" s="321"/>
      <c r="F22" s="343"/>
      <c r="G22" s="344" t="str">
        <f>_xlfn.CONCAT(_xlfn.XLOOKUP("[S04_NationalLawPermitUpdate][4][PermitUpdateNationalLawDetail]",Submission!$O:$O,Submission!$H:$N,""))</f>
        <v>Kapazitätsverringerungen hat der Anlagenbetreiber zunächst der zuständigen Anlagengenehmigungsbehörde anzuzeigen. Wesentliche Anlagenänderungen sind im Wege einer Änderungsgenehmigung zu genehmigen. Geht aus der Änderungsgenehmigung hervor, dass durch die Anlagenänderung auch der nach Anhang 1 TEHG festgesetzte Schwellenwert unterschritten wird, bedarf der Anlagenbetreiber zur Freisetzung von Treibhausgasen keiner gesonderten Emissionsgenehmigung mehr.</v>
      </c>
      <c r="H22" s="345"/>
      <c r="I22" s="346"/>
    </row>
    <row r="23" spans="1:9" ht="15.9" customHeight="1" x14ac:dyDescent="0.3">
      <c r="C23" s="320" t="s">
        <v>138</v>
      </c>
      <c r="D23" s="321"/>
      <c r="E23" s="321"/>
      <c r="F23" s="343"/>
      <c r="G23" s="344" t="str">
        <f>_xlfn.CONCAT(_xlfn.XLOOKUP("[S04_NationalLawPermitUpdate][5][PermitUpdateNationalLawDetail]",Submission!$O:$O,Submission!$H:$N,""))</f>
        <v>Gar nicht, die Änderung der Genehmigung kann vielmehr eine Änderung des Überwachungsplans erforderlich werden lassen (veränderte Anlagenabgrenzung, neue Quellen oder Stoffströme).</v>
      </c>
      <c r="H23" s="345"/>
      <c r="I23" s="346"/>
    </row>
    <row r="24" spans="1:9" ht="15.9" customHeight="1" x14ac:dyDescent="0.3">
      <c r="C24" s="320" t="s">
        <v>798</v>
      </c>
      <c r="D24" s="321"/>
      <c r="E24" s="321"/>
      <c r="F24" s="343"/>
      <c r="G24" s="344" t="str">
        <f>_xlfn.CONCAT(_xlfn.XLOOKUP("[S04_NationalLawPermitUpdate][6][PermitUpdateNationalLawDetail]",Submission!$O:$O,Submission!$H:$N,""))</f>
        <v>Nein.</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62</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Yes</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xml:space="preserve">•	Gesetz über den Handel mit Berechtigungen zur Emission von Treibhausgasen (Treibhausgas-Emissionshandelsgesetz – TEHG)
Das TEHG setzt die EU-Richtlinie über das europäische Handelssystem mit Treibhausgas-Emissionsberechtigungen in nationales Recht um und trifft auch Festlegungen zu folgenden Punkten, die teilweise auch die Verordnung (EU) Nr. 2018/2066 betreffen: Kompetenzverteilung zwischen Institutionen, Fristen für die Vorlage eines Überwachungsplans, Frist für die CO2-Berichterstattung, Regelungen zur Vor-Ort-Begehung, verbindliche elektronische Kommunikation, Bedingungen für die amtliche Feststellung des Betriebs einer einheitlichen Anlage, Festlegung des Oxidationsfaktors, Befreiung für Kleinemittenten, Bußgeldvorschriften. 
http://www.gesetze-im-internet.de/tehg_2011/TEHG.pdf 
•	Emissionshandelsverordnung 2020 (EHV 2020)
Die Verordnung zur Durchführung des TEHG in der Handelsperiode 2013 bis 2020 trifft zusätzlich Regelungen über Emissionsfaktoren und Nachweisanforderungen beim Einsatz von flüssigen Biobrenn- und Biokraftstoffen.
http://www.gesetze-im-internet.de/ehv_2020/EHV_2020.pdf 
•	Emissionshandelsverordnung 2030 (EHV 2030)
Die Verordnung zur Durchführung des TEHG in der Handelsperiode 2021 bis 2030 führt im Wesentlichen die o.g. Regelungen für die 4. Handelsperiode fort und trifft u.a. zusätzliche Regelungen über die Befreiung von Kleinemittenten.
https://www.gesetze-im-internet.de/ehv_2030/EHV_2030.pdf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Yes</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xml:space="preserve">
•	Leitfaden zur Erstellung von Überwachungsplänen und Emissionsberichten für stationäre Anlagen in der 4. Handelsperiode (2021-2030) 
https://www.dehst.de/SharedDocs/downloads/DE/stationaere_anlagen/2021-2030/Ueberwachungsplan-Emissionsbericht_Leitfaden.pdf
•	 Leitfaden Luftfahrzeugbetreiber: Erstellung von Monitoringkonzepten und Emissionsberichten
•	https://www.dehst.de/SharedDocs/downloads/DE/luftverkehr/lv-leitfaden-monitoring-2022.pdf?__blob=publicationFile&amp;v=4Häufig gestellte Fragen 
https://www.dehst.de/SiteGlobals/Forms/antworten-finden/antworten-finden-formular.html
•	Excel-Arbeitshilfe Unsicherheitsberechnung 
https://www.dehst.de/SharedDocs/downloads/DE/stationaere_anlagen/2021-2030/Ueberwachungsplan_Arbeitshilfe-Unsicherheitsberechnung.xlsx
•	Excel-Arbeitshilfe Unsicherheitsberechnung - Anwendungsbeispiel A
https://www.dehst.de/SharedDocs/downloads/DE/stationaere_anlagen/2021-2030/Ueberwachungsplan_Arbeitshilfe-Unsicherheitsberechnung_Beispiel-1.xlsx
•	Excel-Arbeitshilfe Unsicherheitsberechnung - Anwendungsbeispiel B
https://www.dehst.de/SharedDocs/downloads/DE/stationaere_anlagen/2021-2030/Ueberwachungsplan_Arbeitshilfe-Unsicherheitsberechnung_Beispiel-2.xlsx
•	Excel-Arbeitshilfe Unsicherheitsberechnung - Anwendungsbeispiel C
https://www.dehst.de/SharedDocs/downloads/DE/stationaere_anlagen/2021-2030/Ueberwachungsplan_Arbeitshilfe-Unsicherheitsberechnung_Beispiel-3.xlsx 
•	Excel-Arbeitshilfe Unsicherheitsberechnung - Anwendungsbeispiel D
https://www.dehst.de/SharedDocs/downloads/DE/stationaere_anlagen/2021-2030/Ueberwachungsplan_Arbeitshilfe-Unsicherheitsberechnung_Beispiel-4.xlsx
•	Arbeitshilfe Kalkindustrie
https://www.dehst.de/SharedDocs/downloads/DE/stationaere_anlagen/2013-2020/Arbeitshilfe-Kalkindustrie.xlsx 
•	Beispiel für die Bestimmung der Rohtonmenge durch Rückrechnung
https://www.dehst.de/SharedDocs/downloads/DE/stationaere_anlagen/2013-2020/Keramik-Rueckrechnung-Beispiel.pdf 
•	Das Excel Tool für die Bestimmung der Analysenhäufigkeit und die Vorlage für den Probenahmeplan (beides auf Basis der von der Kommission veröffentlichten Arbeitshilfen) sind in deutscher Sprache auf unserer Internetseite veröffentlicht:
https://www.dehst.de/SharedDocs/downloads/DE/stationaere_anlagen/2021-2030/Ueberwachungsplan_Arbeitshilfe-Analysehaeufigkeit.xlsx
https://www.dehst.de/SharedDocs/downloads/DE/stationaere_anlagen/2013-2020/Probenahme-Beispielvorlage.pdf 
•	Prüfprotokoll für Förderbandwaagen:
https://www.dehst.de/SharedDocs/downloads/DE/stationaere_anlagen/2021-2030/Ueberwachungsplan_Arbeitshilfe-Pruefprotokoll-Foerderbandwaagen.xlsx 
•	Arbeitshilfe zur KEMS-Emissionsdatenauswertung:
https://www.dehst.de/SharedDocs/downloads/DE/stationaere_anlagen/2013-2020/Arbeitshilfe-KEMS.pdf
•	Einsatz kontinuierlicher-Emissionsmesssysteme (KEMS) zur Bestimmung der CO2-Emissionen:
https://www.dehst.de/SharedDocs/downloads/DE/publikationen/Erfahrungsbericht_KEMS.pdf 
•	Sekundärbrennstoffe: Hinweise zur Probenahme bei festen Sekundärbrennstoffen:
https://www.dehst.de/SharedDocs/downloads/DE/stationaere_anlagen/2013-2020/Probenahme-Sekundaerbrennstoffe.pdf 
•	Sekundärbrennstoffe: Excel- Arbeitshilfe zur Berechnung von CO2-Emissionen sowie Biomasseanteil und Emissionsfaktor für das FMS
https://www.dehst.de/SharedDocs/downloads/DE/stationaere_anlagen/2021-2030/Ueberwachungsplan_Arbeitshilfe-Berechnung-CO2-Emissionen.xlsx 
•	Sekundärbrennstoffe Anhang 2: Berechnung der Repräsentativität der Probenahme (DIN 19698-2, Anhang D)
https://www.dehst.de/SharedDocs/downloads/DE/stationaere_anlagen/2013-2020/Anhang-2_Berechnung-Repraesentativitaet.xlsx 
•	Sekundärbrennstoffe: Auswerteverfahren von Analysendaten zur CO2-Emissionsberichterstattung und statistische Bewertung der Repräsentativität der Probenahme von Sekundärbrennstoffen
https://www.dehst.de/SharedDocs/downloads/DE/stationaere_anlagen/2013-2020/Auswerteverfahren-Analysendaten-Berichterstattung.pdf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No</v>
      </c>
      <c r="H16" s="407" t="str">
        <f>_xlfn.CONCAT(_xlfn.XLOOKUP("[MeasuresStreamline][1][MeasuresStreamlineComments]",Submission!$O:$O,Submission!$H:$N,""))</f>
        <v>Es gibt einen regelmäßigen Informationsaustausch zwischen den verantwortlichen Arbeitseinheiten des Nationalen Inventars und des Emissionshandels (ETS). Die Emissionsdaten auf Tätigkeitsebene nach TEHG werden für die Plausibilisierung der Inventar-Daten auf Quellgruppenebene (CRF-Code) eingesetzt. Ebenso werden spezifische Daten wie Emissionsfaktoren und Heizwerte verglichen. Es wird geprüft, ob in ausgewählten Quellgruppen ausschließlich ETS-Daten für das Nationale Inventar verwendet werden können.</v>
      </c>
      <c r="I16" s="407"/>
    </row>
    <row r="17" spans="1:9" s="58" customFormat="1" ht="32.4" customHeight="1" x14ac:dyDescent="0.3">
      <c r="C17" s="354" t="s">
        <v>816</v>
      </c>
      <c r="D17" s="354"/>
      <c r="E17" s="354"/>
      <c r="F17" s="354"/>
      <c r="G17" s="47" t="str">
        <f>_xlfn.CONCAT(_xlfn.XLOOKUP("[MeasuresStreamline][2][MeasuresStreamlineYesNo]",Submission!$O:$O,Submission!$H:$N,""))</f>
        <v>No</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Siehe oben</v>
      </c>
      <c r="I19" s="407"/>
    </row>
    <row r="20" spans="1:9" s="58" customFormat="1" ht="32.4" customHeight="1" x14ac:dyDescent="0.3">
      <c r="C20" s="354" t="s">
        <v>819</v>
      </c>
      <c r="D20" s="354"/>
      <c r="E20" s="354"/>
      <c r="F20" s="354"/>
      <c r="G20" s="47" t="str">
        <f>_xlfn.CONCAT(_xlfn.XLOOKUP("[MeasuresStreamline][5][MeasuresStreamlineYesNo]",Submission!$O:$O,Submission!$H:$N,""))</f>
        <v>Yes</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No</v>
      </c>
      <c r="H21" s="407" t="str">
        <f>_xlfn.CONCAT(_xlfn.XLOOKUP("[MeasuresStreamline][6][MeasuresStreamlineComments]",Submission!$O:$O,Submission!$H:$N,""))</f>
        <v>Es gibt derzeit keinen strukturierten Informationsaustausch zwischen ETS und E-PRTR.</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No</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Member State specific file format</v>
      </c>
      <c r="G28" s="347"/>
      <c r="H28" s="397" t="str">
        <f>_xlfn.CONCAT(_xlfn.XLOOKUP("[S05_MSCustomisedTemplatesMRR1][1][HowTemplateSpecific]",Submission!$O:$O,Submission!$H:$N,""))</f>
        <v>Nutzung eines spezifischen Dateiformats (Formular-Management-System (FMS)). Keine zusätzlichen Elemente im Vergleich zum Template der EU Kommission.</v>
      </c>
      <c r="I28" s="397"/>
    </row>
    <row r="29" spans="1:9" ht="15.9" customHeight="1" x14ac:dyDescent="0.3">
      <c r="C29" s="238" t="s">
        <v>828</v>
      </c>
      <c r="D29" s="283"/>
      <c r="E29" s="239"/>
      <c r="F29" s="281" t="str">
        <f>_xlfn.CONCAT(_xlfn.XLOOKUP("[S05_MSCustomisedTemplatesMRR1][2][SpecificTemplateOrFileFormat]",Submission!$O:$O,Submission!$H:$N,""))</f>
        <v>Member State specific file format</v>
      </c>
      <c r="G29" s="347"/>
      <c r="H29" s="397" t="str">
        <f>_xlfn.CONCAT(_xlfn.XLOOKUP("[S05_MSCustomisedTemplatesMRR1][2][HowTemplateSpecific]",Submission!$O:$O,Submission!$H:$N,""))</f>
        <v>Nutzung eines spezifischen Dateiformats (Formular-Management-System (FMS)). Keine zusätzlichen Elemente im Vergleich zum Template der EU Kommission.</v>
      </c>
      <c r="I29" s="397"/>
    </row>
    <row r="30" spans="1:9" ht="15.9" customHeight="1" x14ac:dyDescent="0.3">
      <c r="C30" s="238" t="s">
        <v>829</v>
      </c>
      <c r="D30" s="283"/>
      <c r="E30" s="239"/>
      <c r="F30" s="281" t="str">
        <f>_xlfn.CONCAT(_xlfn.XLOOKUP("[S05_MSCustomisedTemplatesMRR1][3][SpecificTemplateOrFileFormat]",Submission!$O:$O,Submission!$H:$N,""))</f>
        <v>Member State specific file format</v>
      </c>
      <c r="G30" s="347"/>
      <c r="H30" s="397" t="str">
        <f>_xlfn.CONCAT(_xlfn.XLOOKUP("[S05_MSCustomisedTemplatesMRR1][3][HowTemplateSpecific]",Submission!$O:$O,Submission!$H:$N,""))</f>
        <v>Nutzung eines spezifischen Dateiformats (Formular-Management-System (FMS)). Keine zusätzlichen Elemente im Vergleich zum Template der EU Kommission.</v>
      </c>
      <c r="I30" s="397"/>
    </row>
    <row r="31" spans="1:9" ht="15.9" customHeight="1" x14ac:dyDescent="0.3">
      <c r="C31" s="238" t="s">
        <v>830</v>
      </c>
      <c r="D31" s="283"/>
      <c r="E31" s="239"/>
      <c r="F31" s="281" t="str">
        <f>_xlfn.CONCAT(_xlfn.XLOOKUP("[S05_MSCustomisedTemplatesMRR1][4][SpecificTemplateOrFileFormat]",Submission!$O:$O,Submission!$H:$N,""))</f>
        <v>Member State specific template</v>
      </c>
      <c r="G31" s="347"/>
      <c r="H31" s="397" t="str">
        <f>_xlfn.CONCAT(_xlfn.XLOOKUP("[S05_MSCustomisedTemplatesMRR1][4][HowTemplateSpecific]",Submission!$O:$O,Submission!$H:$N,""))</f>
        <v>Da die meisten Informationen, die im Template der EU Kommission abgefragt werden, bereits mit den oben genannten Überwachungsplänen und Emissionsberichten vorliegen, wurde die mitgliedstaatenspezifische Vorlage für den Verbesserungsbericht im Vergleich zum Template der Kommission reduziert.</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Member State specific file format</v>
      </c>
      <c r="G35" s="347"/>
      <c r="H35" s="397" t="str">
        <f>_xlfn.CONCAT(_xlfn.XLOOKUP("[S05_MSCustomisedTemplatesMRR2][1][HowTemplateSpecific]",Submission!$O:$O,Submission!$H:$N,""))</f>
        <v xml:space="preserve">Nutzung eines spezifischen Dateiformats (Formular-Management-System (FMS)). Keine zusätzlichen Elemente im Vergleich zum Template der EU Kommission. </v>
      </c>
      <c r="I35" s="397"/>
    </row>
    <row r="36" spans="1:9" ht="15.9" customHeight="1" x14ac:dyDescent="0.3">
      <c r="C36" s="238" t="s">
        <v>834</v>
      </c>
      <c r="D36" s="283"/>
      <c r="E36" s="239"/>
      <c r="F36" s="281" t="str">
        <f>_xlfn.CONCAT(_xlfn.XLOOKUP("[S05_MSCustomisedTemplatesMRR2][2][SpecificTemplateOrFileFormat]",Submission!$O:$O,Submission!$H:$N,""))</f>
        <v>Member State specific file format</v>
      </c>
      <c r="G36" s="347"/>
      <c r="H36" s="397" t="str">
        <f>_xlfn.CONCAT(_xlfn.XLOOKUP("[S05_MSCustomisedTemplatesMRR2][2][HowTemplateSpecific]",Submission!$O:$O,Submission!$H:$N,""))</f>
        <v>Nutzung eines spezifischen Dateiformats (Formular-Management-System (FMS)). Keine zusätzlichen Elemente im Vergleich zum Template der EU Kommission.</v>
      </c>
      <c r="I36" s="397"/>
    </row>
    <row r="37" spans="1:9" ht="15.9" customHeight="1" x14ac:dyDescent="0.3">
      <c r="C37" s="238" t="s">
        <v>835</v>
      </c>
      <c r="D37" s="283"/>
      <c r="E37" s="239"/>
      <c r="F37" s="281" t="str">
        <f>_xlfn.CONCAT(_xlfn.XLOOKUP("[S05_MSCustomisedTemplatesMRR2][3][SpecificTemplateOrFileFormat]",Submission!$O:$O,Submission!$H:$N,""))</f>
        <v>Member State specific file format</v>
      </c>
      <c r="G37" s="347"/>
      <c r="H37" s="397" t="str">
        <f>_xlfn.CONCAT(_xlfn.XLOOKUP("[S05_MSCustomisedTemplatesMRR2][3][HowTemplateSpecific]",Submission!$O:$O,Submission!$H:$N,""))</f>
        <v>Nutzung eines spezifischen Dateiformats (Formular-Management-System (FMS)). Keine zusätzlichen Elemente im Vergleich zum Template der EU Kommission.</v>
      </c>
      <c r="I37" s="397"/>
    </row>
    <row r="38" spans="1:9" ht="15.9" customHeight="1" x14ac:dyDescent="0.3">
      <c r="C38" s="238" t="s">
        <v>836</v>
      </c>
      <c r="D38" s="283"/>
      <c r="E38" s="239"/>
      <c r="F38" s="281" t="str">
        <f>_xlfn.CONCAT(_xlfn.XLOOKUP("[S05_MSCustomisedTemplatesMRR2][4][SpecificTemplateOrFileFormat]",Submission!$O:$O,Submission!$H:$N,""))</f>
        <v>Member State specific template</v>
      </c>
      <c r="G38" s="347"/>
      <c r="H38" s="397" t="str">
        <f>_xlfn.CONCAT(_xlfn.XLOOKUP("[S05_MSCustomisedTemplatesMRR2][4][HowTemplateSpecific]",Submission!$O:$O,Submission!$H:$N,""))</f>
        <v>Da die meisten Informationen, die im Template der EU Kommission abgefragt werden, bereits mit den oben genannten Überwachungsplänen und Emissionsberichten vorliegen, wurde die mitgliedstaatenspezifische Vorlage für den Verbesserungsbericht im Vergleich zum Template der Kommission reduziert.</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Das Umweltbundesamt hat mit der Bekanntmachung im elektronischen Bundesanzeiger, eBAnz AT 14.03.2019 B8 i.V.m. § 23 TEHG und Art. 74 Abs. 1 MVO die verbindliche Nutzung der auf den Internetseiten der DEHSt veröffentlichten elektronischen Vorlagen (Formular-Management-System, FMS) für Überwachungspläne und Emissionsberichte vorgeschrieben.
Bei der Erstellung der elektronischen Vorlagen wurde sichergestellt, dass das auf XML basierende FMS mindestens die Informationen enthält, die in den von der EU Kommission veröffentlichten elektronischen Vorlagen und Spezifikationen erhoben werden. 
https://www.formulare.dehst.de/index.html</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Yes</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Die elektronische Kommunikation zwischen Anlagenbetreiber, Prüfstelle und der DEHSt erfolgt über die Virtuelle Poststelle (VPS). Diese Anwendung ermöglicht mit Hilfe von Verschlüsselung und qualifizierter elektronischer Signatur der Nachrichten eine rechtssichere Kommunikation: Integrität (Art. 75 (1) a) der Verordnung (EU) Nr. 2018/2066 (im Weiteren MVO)) und Authentizität (Art. 75 (1) c) MVO) der Daten werden durch eine elektronische Signatur sichergestellt; die Vertraulichkeit der Daten (Art. 75 (1) b) MVO) wird durch eine Inhaltsdatenverschlüsselung garantiert. Ein Zeitstempelverfahren inklusive Empfangsbestätigung sorgt für eine Nicht-Abstreitbarkeit des Versands bzw. der Zustellung (Art. 75 (1) d) MVO).
Die Verpflichtung zur Verwendung von VPS und elektronischer Signatur folgt aus §23 TEHG i.V.m. der Bekanntmachung des Umweltbundesamtes vom 14.03.2019 im elektronischen Bundesanzeiger (eBAnz AT 14.03.2019 B8).
Sowohl das Erfassungssystem (Formular Management System, FMS) als auch die VPS, das IT-Vorgangsbearbeitungssystem (DOMEA) und die Anlagendatenbank (ADB) zur Auswertung der Daten werden unter Berücksichtigung hoher Sicherheitsanforderungen in zugangsgeschützten Bereichen (Art. 75 (2) a) (i) MVO) betrieben. Die Benutzung aller Systeme erfordert eine Authentifizierung und eine entsprechende Zuordnung von Accounts zu Rollen (Autorisierung), vgl. Art. 75 (2) a) (ii) MVO.
Die Lesbarkeit der Daten über längere Zeiträume hinweg wird durch Verwendung offener Standards wie XML und von Archiv-Datenformaten wie PDF/A erleichtert (Art. 75 (2) b) MVO).
Die Veraktung sämtlicher vorgangsrelevanter Daten sowie die Historisierung in der ADB ermöglichen eine personen- und datumsscharfe Nachvollziehbarkeit aller Änderungen (Art. 75 (2) c) MVO).</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547590.33635865</v>
      </c>
      <c r="G53" s="392"/>
      <c r="H53" s="393" t="str">
        <f>_xlfn.CONCAT(_xlfn.XLOOKUP("[S05_InstallationFuelConsEmissions][1][FuelAnnualEmissions]",Submission!$O:$O,Submission!$H:$N,""))</f>
        <v>51502924.816</v>
      </c>
      <c r="I53" s="394"/>
    </row>
    <row r="54" spans="1:9" ht="15.9" customHeight="1" x14ac:dyDescent="0.3">
      <c r="C54" s="238" t="s">
        <v>197</v>
      </c>
      <c r="D54" s="283"/>
      <c r="E54" s="239"/>
      <c r="F54" s="391" t="str">
        <f>_xlfn.CONCAT(_xlfn.XLOOKUP("[S05_InstallationFuelConsEmissions][2][FuelConsumption]",Submission!$O:$O,Submission!$H:$N,""))</f>
        <v>1120532.92201556</v>
      </c>
      <c r="G54" s="392"/>
      <c r="H54" s="393" t="str">
        <f>_xlfn.CONCAT(_xlfn.XLOOKUP("[S05_InstallationFuelConsEmissions][2][FuelAnnualEmissions]",Submission!$O:$O,Submission!$H:$N,""))</f>
        <v>124417595.39</v>
      </c>
      <c r="I54" s="394"/>
    </row>
    <row r="55" spans="1:9" ht="15.9" customHeight="1" x14ac:dyDescent="0.3">
      <c r="C55" s="238" t="s">
        <v>199</v>
      </c>
      <c r="D55" s="283"/>
      <c r="E55" s="239"/>
      <c r="F55" s="391" t="str">
        <f>_xlfn.CONCAT(_xlfn.XLOOKUP("[S05_InstallationFuelConsEmissions][3][FuelConsumption]",Submission!$O:$O,Submission!$H:$N,""))</f>
        <v>0.81984</v>
      </c>
      <c r="G55" s="392"/>
      <c r="H55" s="393" t="str">
        <f>_xlfn.CONCAT(_xlfn.XLOOKUP("[S05_InstallationFuelConsEmissions][3][FuelAnnualEmissions]",Submission!$O:$O,Submission!$H:$N,""))</f>
        <v>86.903</v>
      </c>
      <c r="I55" s="394"/>
    </row>
    <row r="56" spans="1:9" ht="15.9" customHeight="1" x14ac:dyDescent="0.3">
      <c r="C56" s="238" t="s">
        <v>201</v>
      </c>
      <c r="D56" s="283"/>
      <c r="E56" s="239"/>
      <c r="F56" s="391" t="str">
        <f>_xlfn.CONCAT(_xlfn.XLOOKUP("[S05_InstallationFuelConsEmissions][4][FuelConsumption]",Submission!$O:$O,Submission!$H:$N,""))</f>
        <v>6065.78840927</v>
      </c>
      <c r="G56" s="392"/>
      <c r="H56" s="393" t="str">
        <f>_xlfn.CONCAT(_xlfn.XLOOKUP("[S05_InstallationFuelConsEmissions][4][FuelAnnualEmissions]",Submission!$O:$O,Submission!$H:$N,""))</f>
        <v>656515.831</v>
      </c>
      <c r="I56" s="394"/>
    </row>
    <row r="57" spans="1:9" ht="15.9" customHeight="1" x14ac:dyDescent="0.3">
      <c r="C57" s="238" t="s">
        <v>846</v>
      </c>
      <c r="D57" s="283"/>
      <c r="E57" s="239"/>
      <c r="F57" s="391" t="str">
        <f>_xlfn.CONCAT(_xlfn.XLOOKUP("[S05_InstallationFuelConsEmissions][5][FuelConsumption]",Submission!$O:$O,Submission!$H:$N,""))</f>
        <v>1293505.28236114</v>
      </c>
      <c r="G57" s="392"/>
      <c r="H57" s="393" t="str">
        <f>_xlfn.CONCAT(_xlfn.XLOOKUP("[S05_InstallationFuelConsEmissions][5][FuelAnnualEmissions]",Submission!$O:$O,Submission!$H:$N,""))</f>
        <v>72291929.7629998</v>
      </c>
      <c r="I57" s="394"/>
    </row>
    <row r="58" spans="1:9" ht="15.9" customHeight="1" x14ac:dyDescent="0.3">
      <c r="C58" s="238" t="s">
        <v>847</v>
      </c>
      <c r="D58" s="283"/>
      <c r="E58" s="239"/>
      <c r="F58" s="391" t="str">
        <f>_xlfn.CONCAT(_xlfn.XLOOKUP("[S05_InstallationFuelConsEmissions][6][FuelConsumption]",Submission!$O:$O,Submission!$H:$N,""))</f>
        <v>54823.37250081</v>
      </c>
      <c r="G58" s="392"/>
      <c r="H58" s="393" t="str">
        <f>_xlfn.CONCAT(_xlfn.XLOOKUP("[S05_InstallationFuelConsEmissions][6][FuelAnnualEmissions]",Submission!$O:$O,Submission!$H:$N,""))</f>
        <v>2281831.872</v>
      </c>
      <c r="I58" s="394"/>
    </row>
    <row r="59" spans="1:9" ht="15.9" customHeight="1" x14ac:dyDescent="0.3">
      <c r="C59" s="238" t="s">
        <v>848</v>
      </c>
      <c r="D59" s="283"/>
      <c r="E59" s="239"/>
      <c r="F59" s="391" t="str">
        <f>_xlfn.CONCAT(_xlfn.XLOOKUP("[S05_InstallationFuelConsEmissions][7][FuelConsumption]",Submission!$O:$O,Submission!$H:$N,""))</f>
        <v>72996.88791635</v>
      </c>
      <c r="G59" s="392"/>
      <c r="H59" s="393" t="str">
        <f>_xlfn.CONCAT(_xlfn.XLOOKUP("[S05_InstallationFuelConsEmissions][7][FuelAnnualEmissions]",Submission!$O:$O,Submission!$H:$N,""))</f>
        <v>18907815.536</v>
      </c>
      <c r="I59" s="394"/>
    </row>
    <row r="60" spans="1:9" ht="15.9" customHeight="1" x14ac:dyDescent="0.3">
      <c r="C60" s="238" t="s">
        <v>207</v>
      </c>
      <c r="D60" s="283"/>
      <c r="E60" s="239"/>
      <c r="F60" s="391" t="str">
        <f>_xlfn.CONCAT(_xlfn.XLOOKUP("[S05_InstallationFuelConsEmissions][8][FuelConsumption]",Submission!$O:$O,Submission!$H:$N,""))</f>
        <v>219918.899146438</v>
      </c>
      <c r="G60" s="392"/>
      <c r="H60" s="393" t="str">
        <f>_xlfn.CONCAT(_xlfn.XLOOKUP("[S05_InstallationFuelConsEmissions][8][FuelAnnualEmissions]",Submission!$O:$O,Submission!$H:$N,""))</f>
        <v>11859682.746</v>
      </c>
      <c r="I60" s="394"/>
    </row>
    <row r="61" spans="1:9" ht="15.9" customHeight="1" x14ac:dyDescent="0.3">
      <c r="C61" s="238" t="s">
        <v>849</v>
      </c>
      <c r="D61" s="283"/>
      <c r="E61" s="239"/>
      <c r="F61" s="391" t="str">
        <f>_xlfn.CONCAT(_xlfn.XLOOKUP("[S05_InstallationFuelConsEmissions][9][FuelConsumption]",Submission!$O:$O,Submission!$H:$N,""))</f>
        <v>46472.2776577952</v>
      </c>
      <c r="G61" s="392"/>
      <c r="H61" s="393" t="str">
        <f>_xlfn.CONCAT(_xlfn.XLOOKUP("[S05_InstallationFuelConsEmissions][9][FuelAnnualEmissions]",Submission!$O:$O,Submission!$H:$N,""))</f>
        <v>3615533.98200001</v>
      </c>
      <c r="I61" s="394"/>
    </row>
    <row r="62" spans="1:9" ht="15.9" customHeight="1" x14ac:dyDescent="0.3">
      <c r="C62" s="238" t="s">
        <v>211</v>
      </c>
      <c r="D62" s="283"/>
      <c r="E62" s="239"/>
      <c r="F62" s="391" t="str">
        <f>_xlfn.CONCAT(_xlfn.XLOOKUP("[S05_InstallationFuelConsEmissions][10][FuelConsumption]",Submission!$O:$O,Submission!$H:$N,""))</f>
        <v>879.794763540001</v>
      </c>
      <c r="G62" s="392"/>
      <c r="H62" s="393" t="str">
        <f>_xlfn.CONCAT(_xlfn.XLOOKUP("[S05_InstallationFuelConsEmissions][10][FuelAnnualEmissions]",Submission!$O:$O,Submission!$H:$N,""))</f>
        <v>56652.383</v>
      </c>
      <c r="I62" s="394"/>
    </row>
    <row r="63" spans="1:9" ht="15.9" customHeight="1" x14ac:dyDescent="0.3">
      <c r="C63" s="238" t="s">
        <v>212</v>
      </c>
      <c r="D63" s="283"/>
      <c r="E63" s="239"/>
      <c r="F63" s="391" t="str">
        <f>_xlfn.CONCAT(_xlfn.XLOOKUP("[S05_InstallationFuelConsEmissions][11][FuelConsumption]",Submission!$O:$O,Submission!$H:$N,""))</f>
        <v>3380.30281107</v>
      </c>
      <c r="G63" s="392"/>
      <c r="H63" s="393" t="str">
        <f>_xlfn.CONCAT(_xlfn.XLOOKUP("[S05_InstallationFuelConsEmissions][11][FuelAnnualEmissions]",Submission!$O:$O,Submission!$H:$N,""))</f>
        <v>275126.512</v>
      </c>
      <c r="I63" s="394"/>
    </row>
    <row r="64" spans="1:9" ht="15.9" customHeight="1" x14ac:dyDescent="0.3">
      <c r="C64" s="238" t="s">
        <v>850</v>
      </c>
      <c r="D64" s="283"/>
      <c r="E64" s="239"/>
      <c r="F64" s="391" t="str">
        <f>_xlfn.CONCAT(_xlfn.XLOOKUP("[S05_InstallationFuelConsEmissions][12][FuelConsumption]",Submission!$O:$O,Submission!$H:$N,""))</f>
        <v>415334.822994742</v>
      </c>
      <c r="G64" s="392"/>
      <c r="H64" s="393" t="str">
        <f>_xlfn.CONCAT(_xlfn.XLOOKUP("[S05_InstallationFuelConsEmissions][12][FuelAnnualEmissions]",Submission!$O:$O,Submission!$H:$N,""))</f>
        <v>27237087.916</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
      </c>
      <c r="F69" s="388"/>
      <c r="G69" s="126" t="str">
        <f>_xlfn.CONCAT(_xlfn.XLOOKUP("[S05_AggregateTotalEmissionsByCRF][1][TotalEmissionsTCo2e]",Submission!$O:$O,Submission!$H:$N,""))</f>
        <v>184856804.251</v>
      </c>
      <c r="H69" s="126" t="str">
        <f>_xlfn.CONCAT(_xlfn.XLOOKUP("[S05_AggregateTotalEmissionsByCRF][1][TotalCombustionEmissionsTCo2e]",Submission!$O:$O,Submission!$H:$N,""))</f>
        <v>184856804.251</v>
      </c>
      <c r="I69" s="126" t="str">
        <f>_xlfn.CONCAT(_xlfn.XLOOKUP("[S05_AggregateTotalEmissionsByCRF][1][TotalProcessEmissionsTCo2e]",Submission!$O:$O,Submission!$H:$N,""))</f>
        <v/>
      </c>
    </row>
    <row r="70" spans="1:14" ht="16.2" customHeight="1" x14ac:dyDescent="0.3">
      <c r="C70" s="387" t="str">
        <f>_xlfn.CONCAT(_xlfn.XLOOKUP("[S05_AggregateTotalEmissionsByCRF][2][CRFCategory1]",Submission!$O:$O,Submission!$H:$N,""))</f>
        <v>1A1b - Energy - Petroleum Refining</v>
      </c>
      <c r="D70" s="388"/>
      <c r="E70" s="389" t="str">
        <f>_xlfn.CONCAT(_xlfn.XLOOKUP("[S05_AggregateTotalEmissionsByCRF][2][CRFCategory2]",Submission!$O:$O,Submission!$H:$N,""))</f>
        <v/>
      </c>
      <c r="F70" s="390"/>
      <c r="G70" s="126" t="str">
        <f>_xlfn.CONCAT(_xlfn.XLOOKUP("[S05_AggregateTotalEmissionsByCRF][2][TotalEmissionsTCo2e]",Submission!$O:$O,Submission!$H:$N,""))</f>
        <v>20662164.802</v>
      </c>
      <c r="H70" s="126" t="str">
        <f>_xlfn.CONCAT(_xlfn.XLOOKUP("[S05_AggregateTotalEmissionsByCRF][2][TotalCombustionEmissionsTCo2e]",Submission!$O:$O,Submission!$H:$N,""))</f>
        <v>20662164.802</v>
      </c>
      <c r="I70" s="126" t="str">
        <f>_xlfn.CONCAT(_xlfn.XLOOKUP("[S05_AggregateTotalEmissionsByCRF][2][TotalProcessEmissionsTCo2e]",Submission!$O:$O,Submission!$H:$N,""))</f>
        <v/>
      </c>
    </row>
    <row r="71" spans="1:14" ht="16.2" customHeight="1" x14ac:dyDescent="0.3">
      <c r="C71" s="387" t="str">
        <f>_xlfn.CONCAT(_xlfn.XLOOKUP("[S05_AggregateTotalEmissionsByCRF][3][CRFCategory1]",Submission!$O:$O,Submission!$H:$N,""))</f>
        <v>1A1c - Energy - Manufacture of Solid Fuels and Other Energy Industries</v>
      </c>
      <c r="D71" s="388"/>
      <c r="E71" s="389" t="str">
        <f>_xlfn.CONCAT(_xlfn.XLOOKUP("[S05_AggregateTotalEmissionsByCRF][3][CRFCategory2]",Submission!$O:$O,Submission!$H:$N,""))</f>
        <v/>
      </c>
      <c r="F71" s="390"/>
      <c r="G71" s="126" t="str">
        <f>_xlfn.CONCAT(_xlfn.XLOOKUP("[S05_AggregateTotalEmissionsByCRF][3][TotalEmissionsTCo2e]",Submission!$O:$O,Submission!$H:$N,""))</f>
        <v>2241753.872</v>
      </c>
      <c r="H71" s="126" t="str">
        <f>_xlfn.CONCAT(_xlfn.XLOOKUP("[S05_AggregateTotalEmissionsByCRF][3][TotalCombustionEmissionsTCo2e]",Submission!$O:$O,Submission!$H:$N,""))</f>
        <v>2241753.872</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1A2a - Energy - Iron and Steel</v>
      </c>
      <c r="D72" s="388"/>
      <c r="E72" s="389" t="str">
        <f>_xlfn.CONCAT(_xlfn.XLOOKUP("[S05_AggregateTotalEmissionsByCRF][4][CRFCategory2]",Submission!$O:$O,Submission!$H:$N,""))</f>
        <v/>
      </c>
      <c r="F72" s="390"/>
      <c r="G72" s="126" t="str">
        <f>_xlfn.CONCAT(_xlfn.XLOOKUP("[S05_AggregateTotalEmissionsByCRF][4][TotalEmissionsTCo2e]",Submission!$O:$O,Submission!$H:$N,""))</f>
        <v>29530433.821</v>
      </c>
      <c r="H72" s="126" t="str">
        <f>_xlfn.CONCAT(_xlfn.XLOOKUP("[S05_AggregateTotalEmissionsByCRF][4][TotalCombustionEmissionsTCo2e]",Submission!$O:$O,Submission!$H:$N,""))</f>
        <v>29530433.821</v>
      </c>
      <c r="I72" s="126" t="str">
        <f>_xlfn.CONCAT(_xlfn.XLOOKUP("[S05_AggregateTotalEmissionsByCRF][4][TotalProcessEmissionsTCo2e]",Submission!$O:$O,Submission!$H:$N,""))</f>
        <v/>
      </c>
    </row>
    <row r="73" spans="1:14" ht="16.2" customHeight="1" x14ac:dyDescent="0.3">
      <c r="C73" s="387" t="str">
        <f>_xlfn.CONCAT(_xlfn.XLOOKUP("[S05_AggregateTotalEmissionsByCRF][5][CRFCategory1]",Submission!$O:$O,Submission!$H:$N,""))</f>
        <v>1A2b - Energy - Non-Ferrous Metals</v>
      </c>
      <c r="D73" s="388"/>
      <c r="E73" s="389" t="str">
        <f>_xlfn.CONCAT(_xlfn.XLOOKUP("[S05_AggregateTotalEmissionsByCRF][5][CRFCategory2]",Submission!$O:$O,Submission!$H:$N,""))</f>
        <v/>
      </c>
      <c r="F73" s="390"/>
      <c r="G73" s="126" t="str">
        <f>_xlfn.CONCAT(_xlfn.XLOOKUP("[S05_AggregateTotalEmissionsByCRF][5][TotalEmissionsTCo2e]",Submission!$O:$O,Submission!$H:$N,""))</f>
        <v>1525198.535</v>
      </c>
      <c r="H73" s="126" t="str">
        <f>_xlfn.CONCAT(_xlfn.XLOOKUP("[S05_AggregateTotalEmissionsByCRF][5][TotalCombustionEmissionsTCo2e]",Submission!$O:$O,Submission!$H:$N,""))</f>
        <v>1525198.535</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1A2c - Energy - Chemicals</v>
      </c>
      <c r="D74" s="388"/>
      <c r="E74" s="389" t="str">
        <f>_xlfn.CONCAT(_xlfn.XLOOKUP("[S05_AggregateTotalEmissionsByCRF][6][CRFCategory2]",Submission!$O:$O,Submission!$H:$N,""))</f>
        <v/>
      </c>
      <c r="F74" s="390"/>
      <c r="G74" s="126" t="str">
        <f>_xlfn.CONCAT(_xlfn.XLOOKUP("[S05_AggregateTotalEmissionsByCRF][6][TotalEmissionsTCo2e]",Submission!$O:$O,Submission!$H:$N,""))</f>
        <v>30513919.957</v>
      </c>
      <c r="H74" s="126" t="str">
        <f>_xlfn.CONCAT(_xlfn.XLOOKUP("[S05_AggregateTotalEmissionsByCRF][6][TotalCombustionEmissionsTCo2e]",Submission!$O:$O,Submission!$H:$N,""))</f>
        <v>30513919.957</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1A2d - Energy - Pulp, Paper and Print</v>
      </c>
      <c r="D75" s="388"/>
      <c r="E75" s="389" t="str">
        <f>_xlfn.CONCAT(_xlfn.XLOOKUP("[S05_AggregateTotalEmissionsByCRF][7][CRFCategory2]",Submission!$O:$O,Submission!$H:$N,""))</f>
        <v/>
      </c>
      <c r="F75" s="390"/>
      <c r="G75" s="126" t="str">
        <f>_xlfn.CONCAT(_xlfn.XLOOKUP("[S05_AggregateTotalEmissionsByCRF][7][TotalEmissionsTCo2e]",Submission!$O:$O,Submission!$H:$N,""))</f>
        <v>7215404.297</v>
      </c>
      <c r="H75" s="126" t="str">
        <f>_xlfn.CONCAT(_xlfn.XLOOKUP("[S05_AggregateTotalEmissionsByCRF][7][TotalCombustionEmissionsTCo2e]",Submission!$O:$O,Submission!$H:$N,""))</f>
        <v>7215404.297</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1A2e - Energy - Food Processing, Beverages and Tobacco</v>
      </c>
      <c r="D76" s="388"/>
      <c r="E76" s="389" t="str">
        <f>_xlfn.CONCAT(_xlfn.XLOOKUP("[S05_AggregateTotalEmissionsByCRF][8][CRFCategory2]",Submission!$O:$O,Submission!$H:$N,""))</f>
        <v/>
      </c>
      <c r="F76" s="390"/>
      <c r="G76" s="126" t="str">
        <f>_xlfn.CONCAT(_xlfn.XLOOKUP("[S05_AggregateTotalEmissionsByCRF][8][TotalEmissionsTCo2e]",Submission!$O:$O,Submission!$H:$N,""))</f>
        <v>1817215.126</v>
      </c>
      <c r="H76" s="126" t="str">
        <f>_xlfn.CONCAT(_xlfn.XLOOKUP("[S05_AggregateTotalEmissionsByCRF][8][TotalCombustionEmissionsTCo2e]",Submission!$O:$O,Submission!$H:$N,""))</f>
        <v>1817215.126</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1A2f - Energy - Non-metallic minerals</v>
      </c>
      <c r="D77" s="388"/>
      <c r="E77" s="389" t="str">
        <f>_xlfn.CONCAT(_xlfn.XLOOKUP("[S05_AggregateTotalEmissionsByCRF][9][CRFCategory2]",Submission!$O:$O,Submission!$H:$N,""))</f>
        <v/>
      </c>
      <c r="F77" s="390"/>
      <c r="G77" s="126" t="str">
        <f>_xlfn.CONCAT(_xlfn.XLOOKUP("[S05_AggregateTotalEmissionsByCRF][9][TotalEmissionsTCo2e]",Submission!$O:$O,Submission!$H:$N,""))</f>
        <v>13912909.7</v>
      </c>
      <c r="H77" s="126" t="str">
        <f>_xlfn.CONCAT(_xlfn.XLOOKUP("[S05_AggregateTotalEmissionsByCRF][9][TotalCombustionEmissionsTCo2e]",Submission!$O:$O,Submission!$H:$N,""))</f>
        <v>13912909.7</v>
      </c>
      <c r="I77" s="126" t="str">
        <f>_xlfn.CONCAT(_xlfn.XLOOKUP("[S05_AggregateTotalEmissionsByCRF][9][TotalProcessEmissionsTCo2e]",Submission!$O:$O,Submission!$H:$N,""))</f>
        <v/>
      </c>
    </row>
    <row r="78" spans="1:14" ht="16.2" customHeight="1" x14ac:dyDescent="0.3">
      <c r="C78" s="387" t="str">
        <f>_xlfn.CONCAT(_xlfn.XLOOKUP("[S05_AggregateTotalEmissionsByCRF][10][CRFCategory1]",Submission!$O:$O,Submission!$H:$N,""))</f>
        <v>1A2g - Energy - Other Manufacturing Industries and Construction</v>
      </c>
      <c r="D78" s="388"/>
      <c r="E78" s="389" t="str">
        <f>_xlfn.CONCAT(_xlfn.XLOOKUP("[S05_AggregateTotalEmissionsByCRF][10][CRFCategory2]",Submission!$O:$O,Submission!$H:$N,""))</f>
        <v/>
      </c>
      <c r="F78" s="390"/>
      <c r="G78" s="126" t="str">
        <f>_xlfn.CONCAT(_xlfn.XLOOKUP("[S05_AggregateTotalEmissionsByCRF][10][TotalEmissionsTCo2e]",Submission!$O:$O,Submission!$H:$N,""))</f>
        <v>9930454.57200001</v>
      </c>
      <c r="H78" s="126" t="str">
        <f>_xlfn.CONCAT(_xlfn.XLOOKUP("[S05_AggregateTotalEmissionsByCRF][10][TotalCombustionEmissionsTCo2e]",Submission!$O:$O,Submission!$H:$N,""))</f>
        <v>9930454.57200001</v>
      </c>
      <c r="I78" s="126" t="str">
        <f>_xlfn.CONCAT(_xlfn.XLOOKUP("[S05_AggregateTotalEmissionsByCRF][10][TotalProcessEmissionsTCo2e]",Submission!$O:$O,Submission!$H:$N,""))</f>
        <v/>
      </c>
    </row>
    <row r="79" spans="1:14" ht="16.2" customHeight="1" x14ac:dyDescent="0.3">
      <c r="C79" s="387" t="str">
        <f>_xlfn.CONCAT(_xlfn.XLOOKUP("[S05_AggregateTotalEmissionsByCRF][11][CRFCategory1]",Submission!$O:$O,Submission!$H:$N,""))</f>
        <v>1A3e - Energy - Other Transportation (pipeline transport)</v>
      </c>
      <c r="D79" s="388"/>
      <c r="E79" s="389" t="str">
        <f>_xlfn.CONCAT(_xlfn.XLOOKUP("[S05_AggregateTotalEmissionsByCRF][11][CRFCategory2]",Submission!$O:$O,Submission!$H:$N,""))</f>
        <v/>
      </c>
      <c r="F79" s="390"/>
      <c r="G79" s="126" t="str">
        <f>_xlfn.CONCAT(_xlfn.XLOOKUP("[S05_AggregateTotalEmissionsByCRF][11][TotalEmissionsTCo2e]",Submission!$O:$O,Submission!$H:$N,""))</f>
        <v>808956.834</v>
      </c>
      <c r="H79" s="126" t="str">
        <f>_xlfn.CONCAT(_xlfn.XLOOKUP("[S05_AggregateTotalEmissionsByCRF][11][TotalCombustionEmissionsTCo2e]",Submission!$O:$O,Submission!$H:$N,""))</f>
        <v>808956.834</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1A4a - Energy - Commercial/Institutional</v>
      </c>
      <c r="D80" s="388"/>
      <c r="E80" s="389" t="str">
        <f>_xlfn.CONCAT(_xlfn.XLOOKUP("[S05_AggregateTotalEmissionsByCRF][12][CRFCategory2]",Submission!$O:$O,Submission!$H:$N,""))</f>
        <v/>
      </c>
      <c r="F80" s="390"/>
      <c r="G80" s="126" t="str">
        <f>_xlfn.CONCAT(_xlfn.XLOOKUP("[S05_AggregateTotalEmissionsByCRF][12][TotalEmissionsTCo2e]",Submission!$O:$O,Submission!$H:$N,""))</f>
        <v>488823.119</v>
      </c>
      <c r="H80" s="126" t="str">
        <f>_xlfn.CONCAT(_xlfn.XLOOKUP("[S05_AggregateTotalEmissionsByCRF][12][TotalCombustionEmissionsTCo2e]",Submission!$O:$O,Submission!$H:$N,""))</f>
        <v>488823.119</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1A5a - Energy - Other Stationary</v>
      </c>
      <c r="D81" s="388"/>
      <c r="E81" s="389" t="str">
        <f>_xlfn.CONCAT(_xlfn.XLOOKUP("[S05_AggregateTotalEmissionsByCRF][13][CRFCategory2]",Submission!$O:$O,Submission!$H:$N,""))</f>
        <v/>
      </c>
      <c r="F81" s="390"/>
      <c r="G81" s="126" t="str">
        <f>_xlfn.CONCAT(_xlfn.XLOOKUP("[S05_AggregateTotalEmissionsByCRF][13][TotalEmissionsTCo2e]",Submission!$O:$O,Submission!$H:$N,""))</f>
        <v>91435.105</v>
      </c>
      <c r="H81" s="126" t="str">
        <f>_xlfn.CONCAT(_xlfn.XLOOKUP("[S05_AggregateTotalEmissionsByCRF][13][TotalCombustionEmissionsTCo2e]",Submission!$O:$O,Submission!$H:$N,""))</f>
        <v>91435.105</v>
      </c>
      <c r="I81" s="126" t="str">
        <f>_xlfn.CONCAT(_xlfn.XLOOKUP("[S05_AggregateTotalEmissionsByCRF][13][TotalProcessEmissionsTCo2e]",Submission!$O:$O,Submission!$H:$N,""))</f>
        <v/>
      </c>
    </row>
    <row r="82" spans="3:9" ht="16.2" customHeight="1" x14ac:dyDescent="0.3">
      <c r="C82" s="387" t="str">
        <f>_xlfn.CONCAT(_xlfn.XLOOKUP("[S05_AggregateTotalEmissionsByCRF][14][CRFCategory1]",Submission!$O:$O,Submission!$H:$N,""))</f>
        <v>1B2c - Energy - Fugitive - Venting and Flaring</v>
      </c>
      <c r="D82" s="388"/>
      <c r="E82" s="389" t="str">
        <f>_xlfn.CONCAT(_xlfn.XLOOKUP("[S05_AggregateTotalEmissionsByCRF][14][CRFCategory2]",Submission!$O:$O,Submission!$H:$N,""))</f>
        <v/>
      </c>
      <c r="F82" s="390"/>
      <c r="G82" s="126" t="str">
        <f>_xlfn.CONCAT(_xlfn.XLOOKUP("[S05_AggregateTotalEmissionsByCRF][14][TotalEmissionsTCo2e]",Submission!$O:$O,Submission!$H:$N,""))</f>
        <v>312623.39</v>
      </c>
      <c r="H82" s="126" t="str">
        <f>_xlfn.CONCAT(_xlfn.XLOOKUP("[S05_AggregateTotalEmissionsByCRF][14][TotalCombustionEmissionsTCo2e]",Submission!$O:$O,Submission!$H:$N,""))</f>
        <v>312623.39</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0</v>
      </c>
      <c r="D83" s="388"/>
      <c r="E83" s="389" t="str">
        <f>_xlfn.CONCAT(_xlfn.XLOOKUP("[S05_AggregateTotalEmissionsByCRF][15][CRFCategory2]",Submission!$O:$O,Submission!$H:$N,""))</f>
        <v>2A1 - Process - Cement Production</v>
      </c>
      <c r="F83" s="390"/>
      <c r="G83" s="126" t="str">
        <f>_xlfn.CONCAT(_xlfn.XLOOKUP("[S05_AggregateTotalEmissionsByCRF][15][TotalEmissionsTCo2e]",Submission!$O:$O,Submission!$H:$N,""))</f>
        <v>13654158.335</v>
      </c>
      <c r="H83" s="126" t="str">
        <f>_xlfn.CONCAT(_xlfn.XLOOKUP("[S05_AggregateTotalEmissionsByCRF][15][TotalCombustionEmissionsTCo2e]",Submission!$O:$O,Submission!$H:$N,""))</f>
        <v/>
      </c>
      <c r="I83" s="126" t="str">
        <f>_xlfn.CONCAT(_xlfn.XLOOKUP("[S05_AggregateTotalEmissionsByCRF][15][TotalProcessEmissionsTCo2e]",Submission!$O:$O,Submission!$H:$N,""))</f>
        <v>13654158.335</v>
      </c>
    </row>
    <row r="84" spans="3:9" ht="16.2" customHeight="1" x14ac:dyDescent="0.3">
      <c r="C84" s="387" t="str">
        <f>_xlfn.CONCAT(_xlfn.XLOOKUP("[S05_AggregateTotalEmissionsByCRF][16][CRFCategory1]",Submission!$O:$O,Submission!$H:$N,""))</f>
        <v>0</v>
      </c>
      <c r="D84" s="388"/>
      <c r="E84" s="389" t="str">
        <f>_xlfn.CONCAT(_xlfn.XLOOKUP("[S05_AggregateTotalEmissionsByCRF][16][CRFCategory2]",Submission!$O:$O,Submission!$H:$N,""))</f>
        <v>2A2 - Process - Lime Production</v>
      </c>
      <c r="F84" s="390"/>
      <c r="G84" s="126" t="str">
        <f>_xlfn.CONCAT(_xlfn.XLOOKUP("[S05_AggregateTotalEmissionsByCRF][16][TotalEmissionsTCo2e]",Submission!$O:$O,Submission!$H:$N,""))</f>
        <v>4606850.496</v>
      </c>
      <c r="H84" s="126" t="str">
        <f>_xlfn.CONCAT(_xlfn.XLOOKUP("[S05_AggregateTotalEmissionsByCRF][16][TotalCombustionEmissionsTCo2e]",Submission!$O:$O,Submission!$H:$N,""))</f>
        <v/>
      </c>
      <c r="I84" s="126" t="str">
        <f>_xlfn.CONCAT(_xlfn.XLOOKUP("[S05_AggregateTotalEmissionsByCRF][16][TotalProcessEmissionsTCo2e]",Submission!$O:$O,Submission!$H:$N,""))</f>
        <v>4606850.496</v>
      </c>
    </row>
    <row r="85" spans="3:9" ht="16.2" customHeight="1" x14ac:dyDescent="0.3">
      <c r="C85" s="387" t="str">
        <f>_xlfn.CONCAT(_xlfn.XLOOKUP("[S05_AggregateTotalEmissionsByCRF][17][CRFCategory1]",Submission!$O:$O,Submission!$H:$N,""))</f>
        <v>0</v>
      </c>
      <c r="D85" s="388"/>
      <c r="E85" s="389" t="str">
        <f>_xlfn.CONCAT(_xlfn.XLOOKUP("[S05_AggregateTotalEmissionsByCRF][17][CRFCategory2]",Submission!$O:$O,Submission!$H:$N,""))</f>
        <v>2A3 - Process - Glass production</v>
      </c>
      <c r="F85" s="390"/>
      <c r="G85" s="126" t="str">
        <f>_xlfn.CONCAT(_xlfn.XLOOKUP("[S05_AggregateTotalEmissionsByCRF][17][TotalEmissionsTCo2e]",Submission!$O:$O,Submission!$H:$N,""))</f>
        <v>912959.349</v>
      </c>
      <c r="H85" s="126" t="str">
        <f>_xlfn.CONCAT(_xlfn.XLOOKUP("[S05_AggregateTotalEmissionsByCRF][17][TotalCombustionEmissionsTCo2e]",Submission!$O:$O,Submission!$H:$N,""))</f>
        <v/>
      </c>
      <c r="I85" s="126" t="str">
        <f>_xlfn.CONCAT(_xlfn.XLOOKUP("[S05_AggregateTotalEmissionsByCRF][17][TotalProcessEmissionsTCo2e]",Submission!$O:$O,Submission!$H:$N,""))</f>
        <v>912959.349</v>
      </c>
    </row>
    <row r="86" spans="3:9" ht="16.2" customHeight="1" x14ac:dyDescent="0.3">
      <c r="C86" s="387" t="str">
        <f>_xlfn.CONCAT(_xlfn.XLOOKUP("[S05_AggregateTotalEmissionsByCRF][18][CRFCategory1]",Submission!$O:$O,Submission!$H:$N,""))</f>
        <v>0</v>
      </c>
      <c r="D86" s="388"/>
      <c r="E86" s="389" t="str">
        <f>_xlfn.CONCAT(_xlfn.XLOOKUP("[S05_AggregateTotalEmissionsByCRF][18][CRFCategory2]",Submission!$O:$O,Submission!$H:$N,""))</f>
        <v>2A4 - Process - Other Process Uses of Carbonates</v>
      </c>
      <c r="F86" s="390"/>
      <c r="G86" s="126" t="str">
        <f>_xlfn.CONCAT(_xlfn.XLOOKUP("[S05_AggregateTotalEmissionsByCRF][18][TotalEmissionsTCo2e]",Submission!$O:$O,Submission!$H:$N,""))</f>
        <v>519304.095</v>
      </c>
      <c r="H86" s="126" t="str">
        <f>_xlfn.CONCAT(_xlfn.XLOOKUP("[S05_AggregateTotalEmissionsByCRF][18][TotalCombustionEmissionsTCo2e]",Submission!$O:$O,Submission!$H:$N,""))</f>
        <v/>
      </c>
      <c r="I86" s="126" t="str">
        <f>_xlfn.CONCAT(_xlfn.XLOOKUP("[S05_AggregateTotalEmissionsByCRF][18][TotalProcessEmissionsTCo2e]",Submission!$O:$O,Submission!$H:$N,""))</f>
        <v>519304.095</v>
      </c>
    </row>
    <row r="87" spans="3:9" ht="16.2" customHeight="1" x14ac:dyDescent="0.3">
      <c r="C87" s="387" t="str">
        <f>_xlfn.CONCAT(_xlfn.XLOOKUP("[S05_AggregateTotalEmissionsByCRF][19][CRFCategory1]",Submission!$O:$O,Submission!$H:$N,""))</f>
        <v>0</v>
      </c>
      <c r="D87" s="388"/>
      <c r="E87" s="389" t="str">
        <f>_xlfn.CONCAT(_xlfn.XLOOKUP("[S05_AggregateTotalEmissionsByCRF][19][CRFCategory2]",Submission!$O:$O,Submission!$H:$N,""))</f>
        <v>2B1 - Process - Ammonia Production</v>
      </c>
      <c r="F87" s="390"/>
      <c r="G87" s="126" t="str">
        <f>_xlfn.CONCAT(_xlfn.XLOOKUP("[S05_AggregateTotalEmissionsByCRF][19][TotalEmissionsTCo2e]",Submission!$O:$O,Submission!$H:$N,""))</f>
        <v>5043497.37</v>
      </c>
      <c r="H87" s="126" t="str">
        <f>_xlfn.CONCAT(_xlfn.XLOOKUP("[S05_AggregateTotalEmissionsByCRF][19][TotalCombustionEmissionsTCo2e]",Submission!$O:$O,Submission!$H:$N,""))</f>
        <v/>
      </c>
      <c r="I87" s="126" t="str">
        <f>_xlfn.CONCAT(_xlfn.XLOOKUP("[S05_AggregateTotalEmissionsByCRF][19][TotalProcessEmissionsTCo2e]",Submission!$O:$O,Submission!$H:$N,""))</f>
        <v>5043497.37</v>
      </c>
    </row>
    <row r="88" spans="3:9" ht="16.2" customHeight="1" x14ac:dyDescent="0.3">
      <c r="C88" s="387" t="str">
        <f>_xlfn.CONCAT(_xlfn.XLOOKUP("[S05_AggregateTotalEmissionsByCRF][20][CRFCategory1]",Submission!$O:$O,Submission!$H:$N,""))</f>
        <v>0</v>
      </c>
      <c r="D88" s="388"/>
      <c r="E88" s="389" t="str">
        <f>_xlfn.CONCAT(_xlfn.XLOOKUP("[S05_AggregateTotalEmissionsByCRF][20][CRFCategory2]",Submission!$O:$O,Submission!$H:$N,""))</f>
        <v xml:space="preserve">2B2 - Process - Nitric Acid Production </v>
      </c>
      <c r="F88" s="390"/>
      <c r="G88" s="126" t="str">
        <f>_xlfn.CONCAT(_xlfn.XLOOKUP("[S05_AggregateTotalEmissionsByCRF][20][TotalEmissionsTCo2e]",Submission!$O:$O,Submission!$H:$N,""))</f>
        <v>404146.059</v>
      </c>
      <c r="H88" s="126" t="str">
        <f>_xlfn.CONCAT(_xlfn.XLOOKUP("[S05_AggregateTotalEmissionsByCRF][20][TotalCombustionEmissionsTCo2e]",Submission!$O:$O,Submission!$H:$N,""))</f>
        <v/>
      </c>
      <c r="I88" s="126" t="str">
        <f>_xlfn.CONCAT(_xlfn.XLOOKUP("[S05_AggregateTotalEmissionsByCRF][20][TotalProcessEmissionsTCo2e]",Submission!$O:$O,Submission!$H:$N,""))</f>
        <v>404146.059</v>
      </c>
    </row>
    <row r="89" spans="3:9" ht="16.2" customHeight="1" x14ac:dyDescent="0.3">
      <c r="C89" s="387" t="str">
        <f>_xlfn.CONCAT(_xlfn.XLOOKUP("[S05_AggregateTotalEmissionsByCRF][21][CRFCategory1]",Submission!$O:$O,Submission!$H:$N,""))</f>
        <v>0</v>
      </c>
      <c r="D89" s="388"/>
      <c r="E89" s="389" t="str">
        <f>_xlfn.CONCAT(_xlfn.XLOOKUP("[S05_AggregateTotalEmissionsByCRF][21][CRFCategory2]",Submission!$O:$O,Submission!$H:$N,""))</f>
        <v>2B3 - Process - Adipic Acid Production</v>
      </c>
      <c r="F89" s="390"/>
      <c r="G89" s="126" t="str">
        <f>_xlfn.CONCAT(_xlfn.XLOOKUP("[S05_AggregateTotalEmissionsByCRF][21][TotalEmissionsTCo2e]",Submission!$O:$O,Submission!$H:$N,""))</f>
        <v>15916.601</v>
      </c>
      <c r="H89" s="126" t="str">
        <f>_xlfn.CONCAT(_xlfn.XLOOKUP("[S05_AggregateTotalEmissionsByCRF][21][TotalCombustionEmissionsTCo2e]",Submission!$O:$O,Submission!$H:$N,""))</f>
        <v/>
      </c>
      <c r="I89" s="126" t="str">
        <f>_xlfn.CONCAT(_xlfn.XLOOKUP("[S05_AggregateTotalEmissionsByCRF][21][TotalProcessEmissionsTCo2e]",Submission!$O:$O,Submission!$H:$N,""))</f>
        <v>15916.601</v>
      </c>
    </row>
    <row r="90" spans="3:9" ht="16.2" customHeight="1" x14ac:dyDescent="0.3">
      <c r="C90" s="387" t="str">
        <f>_xlfn.CONCAT(_xlfn.XLOOKUP("[S05_AggregateTotalEmissionsByCRF][22][CRFCategory1]",Submission!$O:$O,Submission!$H:$N,""))</f>
        <v>0</v>
      </c>
      <c r="D90" s="388"/>
      <c r="E90" s="389" t="str">
        <f>_xlfn.CONCAT(_xlfn.XLOOKUP("[S05_AggregateTotalEmissionsByCRF][22][CRFCategory2]",Submission!$O:$O,Submission!$H:$N,""))</f>
        <v xml:space="preserve">2B4 - Process - Caprolactam, Glyoxal and Glyoxylic Acid Production </v>
      </c>
      <c r="F90" s="390"/>
      <c r="G90" s="126" t="str">
        <f>_xlfn.CONCAT(_xlfn.XLOOKUP("[S05_AggregateTotalEmissionsByCRF][22][TotalEmissionsTCo2e]",Submission!$O:$O,Submission!$H:$N,""))</f>
        <v>40774.662</v>
      </c>
      <c r="H90" s="126" t="str">
        <f>_xlfn.CONCAT(_xlfn.XLOOKUP("[S05_AggregateTotalEmissionsByCRF][22][TotalCombustionEmissionsTCo2e]",Submission!$O:$O,Submission!$H:$N,""))</f>
        <v/>
      </c>
      <c r="I90" s="126" t="str">
        <f>_xlfn.CONCAT(_xlfn.XLOOKUP("[S05_AggregateTotalEmissionsByCRF][22][TotalProcessEmissionsTCo2e]",Submission!$O:$O,Submission!$H:$N,""))</f>
        <v>40774.662</v>
      </c>
    </row>
    <row r="91" spans="3:9" ht="16.2" customHeight="1" x14ac:dyDescent="0.3">
      <c r="C91" s="387" t="str">
        <f>_xlfn.CONCAT(_xlfn.XLOOKUP("[S05_AggregateTotalEmissionsByCRF][23][CRFCategory1]",Submission!$O:$O,Submission!$H:$N,""))</f>
        <v>0</v>
      </c>
      <c r="D91" s="388"/>
      <c r="E91" s="389" t="str">
        <f>_xlfn.CONCAT(_xlfn.XLOOKUP("[S05_AggregateTotalEmissionsByCRF][23][CRFCategory2]",Submission!$O:$O,Submission!$H:$N,""))</f>
        <v xml:space="preserve">2B7 - Process - Soda Ash Production </v>
      </c>
      <c r="F91" s="390"/>
      <c r="G91" s="126" t="str">
        <f>_xlfn.CONCAT(_xlfn.XLOOKUP("[S05_AggregateTotalEmissionsByCRF][23][TotalEmissionsTCo2e]",Submission!$O:$O,Submission!$H:$N,""))</f>
        <v>87074.9920000001</v>
      </c>
      <c r="H91" s="126" t="str">
        <f>_xlfn.CONCAT(_xlfn.XLOOKUP("[S05_AggregateTotalEmissionsByCRF][23][TotalCombustionEmissionsTCo2e]",Submission!$O:$O,Submission!$H:$N,""))</f>
        <v/>
      </c>
      <c r="I91" s="126" t="str">
        <f>_xlfn.CONCAT(_xlfn.XLOOKUP("[S05_AggregateTotalEmissionsByCRF][23][TotalProcessEmissionsTCo2e]",Submission!$O:$O,Submission!$H:$N,""))</f>
        <v>87074.9920000001</v>
      </c>
    </row>
    <row r="92" spans="3:9" ht="16.2" customHeight="1" x14ac:dyDescent="0.3">
      <c r="C92" s="387" t="str">
        <f>_xlfn.CONCAT(_xlfn.XLOOKUP("[S05_AggregateTotalEmissionsByCRF][24][CRFCategory1]",Submission!$O:$O,Submission!$H:$N,""))</f>
        <v>0</v>
      </c>
      <c r="D92" s="388"/>
      <c r="E92" s="389" t="str">
        <f>_xlfn.CONCAT(_xlfn.XLOOKUP("[S05_AggregateTotalEmissionsByCRF][24][CRFCategory2]",Submission!$O:$O,Submission!$H:$N,""))</f>
        <v>2B8 - Process - Petrochemical and Carbon Black Production</v>
      </c>
      <c r="F92" s="390"/>
      <c r="G92" s="126" t="str">
        <f>_xlfn.CONCAT(_xlfn.XLOOKUP("[S05_AggregateTotalEmissionsByCRF][24][TotalEmissionsTCo2e]",Submission!$O:$O,Submission!$H:$N,""))</f>
        <v>-1182769.666</v>
      </c>
      <c r="H92" s="126" t="str">
        <f>_xlfn.CONCAT(_xlfn.XLOOKUP("[S05_AggregateTotalEmissionsByCRF][24][TotalCombustionEmissionsTCo2e]",Submission!$O:$O,Submission!$H:$N,""))</f>
        <v/>
      </c>
      <c r="I92" s="126" t="str">
        <f>_xlfn.CONCAT(_xlfn.XLOOKUP("[S05_AggregateTotalEmissionsByCRF][24][TotalProcessEmissionsTCo2e]",Submission!$O:$O,Submission!$H:$N,""))</f>
        <v>-1182769.666</v>
      </c>
    </row>
    <row r="93" spans="3:9" ht="16.2" customHeight="1" x14ac:dyDescent="0.3">
      <c r="C93" s="387" t="str">
        <f>_xlfn.CONCAT(_xlfn.XLOOKUP("[S05_AggregateTotalEmissionsByCRF][25][CRFCategory1]",Submission!$O:$O,Submission!$H:$N,""))</f>
        <v>0</v>
      </c>
      <c r="D93" s="388"/>
      <c r="E93" s="389" t="str">
        <f>_xlfn.CONCAT(_xlfn.XLOOKUP("[S05_AggregateTotalEmissionsByCRF][25][CRFCategory2]",Submission!$O:$O,Submission!$H:$N,""))</f>
        <v>2B9 - Process - Fluorochemical Production</v>
      </c>
      <c r="F93" s="390"/>
      <c r="G93" s="126" t="str">
        <f>_xlfn.CONCAT(_xlfn.XLOOKUP("[S05_AggregateTotalEmissionsByCRF][25][TotalEmissionsTCo2e]",Submission!$O:$O,Submission!$H:$N,""))</f>
        <v>20559.4589999999</v>
      </c>
      <c r="H93" s="126" t="str">
        <f>_xlfn.CONCAT(_xlfn.XLOOKUP("[S05_AggregateTotalEmissionsByCRF][25][TotalCombustionEmissionsTCo2e]",Submission!$O:$O,Submission!$H:$N,""))</f>
        <v/>
      </c>
      <c r="I93" s="126" t="str">
        <f>_xlfn.CONCAT(_xlfn.XLOOKUP("[S05_AggregateTotalEmissionsByCRF][25][TotalProcessEmissionsTCo2e]",Submission!$O:$O,Submission!$H:$N,""))</f>
        <v>20559.4589999999</v>
      </c>
    </row>
    <row r="94" spans="3:9" ht="16.2" customHeight="1" x14ac:dyDescent="0.3">
      <c r="C94" s="387" t="str">
        <f>_xlfn.CONCAT(_xlfn.XLOOKUP("[S05_AggregateTotalEmissionsByCRF][26][CRFCategory1]",Submission!$O:$O,Submission!$H:$N,""))</f>
        <v>0</v>
      </c>
      <c r="D94" s="388"/>
      <c r="E94" s="389" t="str">
        <f>_xlfn.CONCAT(_xlfn.XLOOKUP("[S05_AggregateTotalEmissionsByCRF][26][CRFCategory2]",Submission!$O:$O,Submission!$H:$N,""))</f>
        <v>2C1 - Process - Iron and Steel Production</v>
      </c>
      <c r="F94" s="390"/>
      <c r="G94" s="126" t="str">
        <f>_xlfn.CONCAT(_xlfn.XLOOKUP("[S05_AggregateTotalEmissionsByCRF][26][TotalEmissionsTCo2e]",Submission!$O:$O,Submission!$H:$N,""))</f>
        <v>25737194.684</v>
      </c>
      <c r="H94" s="126" t="str">
        <f>_xlfn.CONCAT(_xlfn.XLOOKUP("[S05_AggregateTotalEmissionsByCRF][26][TotalCombustionEmissionsTCo2e]",Submission!$O:$O,Submission!$H:$N,""))</f>
        <v/>
      </c>
      <c r="I94" s="126" t="str">
        <f>_xlfn.CONCAT(_xlfn.XLOOKUP("[S05_AggregateTotalEmissionsByCRF][26][TotalProcessEmissionsTCo2e]",Submission!$O:$O,Submission!$H:$N,""))</f>
        <v>25737194.684</v>
      </c>
    </row>
    <row r="95" spans="3:9" ht="16.2" customHeight="1" x14ac:dyDescent="0.3">
      <c r="C95" s="387" t="str">
        <f>_xlfn.CONCAT(_xlfn.XLOOKUP("[S05_AggregateTotalEmissionsByCRF][27][CRFCategory1]",Submission!$O:$O,Submission!$H:$N,""))</f>
        <v>0</v>
      </c>
      <c r="D95" s="388"/>
      <c r="E95" s="389" t="str">
        <f>_xlfn.CONCAT(_xlfn.XLOOKUP("[S05_AggregateTotalEmissionsByCRF][27][CRFCategory2]",Submission!$O:$O,Submission!$H:$N,""))</f>
        <v>2C3 - Process - Aluminium Production</v>
      </c>
      <c r="F95" s="390"/>
      <c r="G95" s="126" t="str">
        <f>_xlfn.CONCAT(_xlfn.XLOOKUP("[S05_AggregateTotalEmissionsByCRF][27][TotalEmissionsTCo2e]",Submission!$O:$O,Submission!$H:$N,""))</f>
        <v>929580.709</v>
      </c>
      <c r="H95" s="126" t="str">
        <f>_xlfn.CONCAT(_xlfn.XLOOKUP("[S05_AggregateTotalEmissionsByCRF][27][TotalCombustionEmissionsTCo2e]",Submission!$O:$O,Submission!$H:$N,""))</f>
        <v/>
      </c>
      <c r="I95" s="126" t="str">
        <f>_xlfn.CONCAT(_xlfn.XLOOKUP("[S05_AggregateTotalEmissionsByCRF][27][TotalProcessEmissionsTCo2e]",Submission!$O:$O,Submission!$H:$N,""))</f>
        <v>929580.709</v>
      </c>
    </row>
    <row r="96" spans="3:9" ht="16.2" customHeight="1" x14ac:dyDescent="0.3">
      <c r="C96" s="387" t="str">
        <f>_xlfn.CONCAT(_xlfn.XLOOKUP("[S05_AggregateTotalEmissionsByCRF][28][CRFCategory1]",Submission!$O:$O,Submission!$H:$N,""))</f>
        <v>0</v>
      </c>
      <c r="D96" s="388"/>
      <c r="E96" s="389" t="str">
        <f>_xlfn.CONCAT(_xlfn.XLOOKUP("[S05_AggregateTotalEmissionsByCRF][28][CRFCategory2]",Submission!$O:$O,Submission!$H:$N,""))</f>
        <v>2C4 - Process - Magnesium Production</v>
      </c>
      <c r="F96" s="390"/>
      <c r="G96" s="126" t="str">
        <f>_xlfn.CONCAT(_xlfn.XLOOKUP("[S05_AggregateTotalEmissionsByCRF][28][TotalEmissionsTCo2e]",Submission!$O:$O,Submission!$H:$N,""))</f>
        <v>121.978</v>
      </c>
      <c r="H96" s="126" t="str">
        <f>_xlfn.CONCAT(_xlfn.XLOOKUP("[S05_AggregateTotalEmissionsByCRF][28][TotalCombustionEmissionsTCo2e]",Submission!$O:$O,Submission!$H:$N,""))</f>
        <v/>
      </c>
      <c r="I96" s="126" t="str">
        <f>_xlfn.CONCAT(_xlfn.XLOOKUP("[S05_AggregateTotalEmissionsByCRF][28][TotalProcessEmissionsTCo2e]",Submission!$O:$O,Submission!$H:$N,""))</f>
        <v>121.978</v>
      </c>
    </row>
    <row r="97" spans="3:9" ht="16.2" customHeight="1" x14ac:dyDescent="0.3">
      <c r="C97" s="387" t="str">
        <f>_xlfn.CONCAT(_xlfn.XLOOKUP("[S05_AggregateTotalEmissionsByCRF][29][CRFCategory1]",Submission!$O:$O,Submission!$H:$N,""))</f>
        <v>0</v>
      </c>
      <c r="D97" s="388"/>
      <c r="E97" s="389" t="str">
        <f>_xlfn.CONCAT(_xlfn.XLOOKUP("[S05_AggregateTotalEmissionsByCRF][29][CRFCategory2]",Submission!$O:$O,Submission!$H:$N,""))</f>
        <v>2C5 - Process - Lead Production</v>
      </c>
      <c r="F97" s="390"/>
      <c r="G97" s="126" t="str">
        <f>_xlfn.CONCAT(_xlfn.XLOOKUP("[S05_AggregateTotalEmissionsByCRF][29][TotalEmissionsTCo2e]",Submission!$O:$O,Submission!$H:$N,""))</f>
        <v>43333.845</v>
      </c>
      <c r="H97" s="126" t="str">
        <f>_xlfn.CONCAT(_xlfn.XLOOKUP("[S05_AggregateTotalEmissionsByCRF][29][TotalCombustionEmissionsTCo2e]",Submission!$O:$O,Submission!$H:$N,""))</f>
        <v/>
      </c>
      <c r="I97" s="126" t="str">
        <f>_xlfn.CONCAT(_xlfn.XLOOKUP("[S05_AggregateTotalEmissionsByCRF][29][TotalProcessEmissionsTCo2e]",Submission!$O:$O,Submission!$H:$N,""))</f>
        <v>43333.845</v>
      </c>
    </row>
    <row r="98" spans="3:9" ht="16.2" customHeight="1" x14ac:dyDescent="0.3">
      <c r="C98" s="387" t="str">
        <f>_xlfn.CONCAT(_xlfn.XLOOKUP("[S05_AggregateTotalEmissionsByCRF][30][CRFCategory1]",Submission!$O:$O,Submission!$H:$N,""))</f>
        <v>0</v>
      </c>
      <c r="D98" s="388"/>
      <c r="E98" s="389" t="str">
        <f>_xlfn.CONCAT(_xlfn.XLOOKUP("[S05_AggregateTotalEmissionsByCRF][30][CRFCategory2]",Submission!$O:$O,Submission!$H:$N,""))</f>
        <v xml:space="preserve">2C6 - Process - Zinc Production </v>
      </c>
      <c r="F98" s="390"/>
      <c r="G98" s="126" t="str">
        <f>_xlfn.CONCAT(_xlfn.XLOOKUP("[S05_AggregateTotalEmissionsByCRF][30][TotalEmissionsTCo2e]",Submission!$O:$O,Submission!$H:$N,""))</f>
        <v>322457.671</v>
      </c>
      <c r="H98" s="126" t="str">
        <f>_xlfn.CONCAT(_xlfn.XLOOKUP("[S05_AggregateTotalEmissionsByCRF][30][TotalCombustionEmissionsTCo2e]",Submission!$O:$O,Submission!$H:$N,""))</f>
        <v/>
      </c>
      <c r="I98" s="126" t="str">
        <f>_xlfn.CONCAT(_xlfn.XLOOKUP("[S05_AggregateTotalEmissionsByCRF][30][TotalProcessEmissionsTCo2e]",Submission!$O:$O,Submission!$H:$N,""))</f>
        <v>322457.671</v>
      </c>
    </row>
    <row r="99" spans="3:9" ht="16.2" customHeight="1" x14ac:dyDescent="0.3">
      <c r="C99" s="387" t="str">
        <f>_xlfn.CONCAT(_xlfn.XLOOKUP("[S05_AggregateTotalEmissionsByCRF][31][CRFCategory1]",Submission!$O:$O,Submission!$H:$N,""))</f>
        <v>0</v>
      </c>
      <c r="D99" s="388"/>
      <c r="E99" s="389" t="str">
        <f>_xlfn.CONCAT(_xlfn.XLOOKUP("[S05_AggregateTotalEmissionsByCRF][31][CRFCategory2]",Submission!$O:$O,Submission!$H:$N,""))</f>
        <v>2C7 - Process - Other Metal Industry</v>
      </c>
      <c r="F99" s="390"/>
      <c r="G99" s="126" t="str">
        <f>_xlfn.CONCAT(_xlfn.XLOOKUP("[S05_AggregateTotalEmissionsByCRF][31][TotalEmissionsTCo2e]",Submission!$O:$O,Submission!$H:$N,""))</f>
        <v>151181.006</v>
      </c>
      <c r="H99" s="126" t="str">
        <f>_xlfn.CONCAT(_xlfn.XLOOKUP("[S05_AggregateTotalEmissionsByCRF][31][TotalCombustionEmissionsTCo2e]",Submission!$O:$O,Submission!$H:$N,""))</f>
        <v/>
      </c>
      <c r="I99" s="126" t="str">
        <f>_xlfn.CONCAT(_xlfn.XLOOKUP("[S05_AggregateTotalEmissionsByCRF][31][TotalProcessEmissionsTCo2e]",Submission!$O:$O,Submission!$H:$N,""))</f>
        <v>151181.006</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Installation with low emissions</v>
      </c>
      <c r="D203" s="350"/>
      <c r="E203" s="350"/>
      <c r="F203" s="350"/>
      <c r="G203" s="347"/>
      <c r="H203" s="123" t="str">
        <f>_xlfn.CONCAT(_xlfn.XLOOKUP("[S05_DefaultValues][1][FuelMaterialType]",Submission!$O:$O,Submission!$H:$N,""))</f>
        <v>Abfälle nach AVV 19 12 06*</v>
      </c>
      <c r="I203" s="106" t="str">
        <f>_xlfn.CONCAT(_xlfn.XLOOKUP("[S05_DefaultValues][1][InstallationNumber]",Submission!$O:$O,Submission!$H:$N,""))</f>
        <v>1</v>
      </c>
    </row>
    <row r="204" spans="1:9" ht="15.9" customHeight="1" x14ac:dyDescent="0.3">
      <c r="A204" s="13"/>
      <c r="B204" s="34"/>
      <c r="C204" s="281" t="str">
        <f>_xlfn.CONCAT(_xlfn.XLOOKUP("[S05_DefaultValues][2][InstallationCategory]",Submission!$O:$O,Submission!$H:$N,""))</f>
        <v>Installation with low emissions</v>
      </c>
      <c r="D204" s="350"/>
      <c r="E204" s="350"/>
      <c r="F204" s="350"/>
      <c r="G204" s="347"/>
      <c r="H204" s="123" t="str">
        <f>_xlfn.CONCAT(_xlfn.XLOOKUP("[S05_DefaultValues][2][FuelMaterialType]",Submission!$O:$O,Submission!$H:$N,""))</f>
        <v>Aldehyde</v>
      </c>
      <c r="I204" s="106" t="str">
        <f>_xlfn.CONCAT(_xlfn.XLOOKUP("[S05_DefaultValues][2][InstallationNumber]",Submission!$O:$O,Submission!$H:$N,""))</f>
        <v>3</v>
      </c>
    </row>
    <row r="205" spans="1:9" ht="15.9" customHeight="1" x14ac:dyDescent="0.3">
      <c r="A205" s="13"/>
      <c r="B205" s="34"/>
      <c r="C205" s="281" t="str">
        <f>_xlfn.CONCAT(_xlfn.XLOOKUP("[S05_DefaultValues][3][InstallationCategory]",Submission!$O:$O,Submission!$H:$N,""))</f>
        <v>Installation with low emissions</v>
      </c>
      <c r="D205" s="350"/>
      <c r="E205" s="350"/>
      <c r="F205" s="350"/>
      <c r="G205" s="347"/>
      <c r="H205" s="123" t="str">
        <f>_xlfn.CONCAT(_xlfn.XLOOKUP("[S05_DefaultValues][3][FuelMaterialType]",Submission!$O:$O,Submission!$H:$N,""))</f>
        <v>Andere Mineralölprodukte in [t]</v>
      </c>
      <c r="I205" s="106" t="str">
        <f>_xlfn.CONCAT(_xlfn.XLOOKUP("[S05_DefaultValues][3][InstallationNumber]",Submission!$O:$O,Submission!$H:$N,""))</f>
        <v>4</v>
      </c>
    </row>
    <row r="206" spans="1:9" ht="15.9" customHeight="1" x14ac:dyDescent="0.3">
      <c r="A206" s="13"/>
      <c r="B206" s="34"/>
      <c r="C206" s="281" t="str">
        <f>_xlfn.CONCAT(_xlfn.XLOOKUP("[S05_DefaultValues][4][InstallationCategory]",Submission!$O:$O,Submission!$H:$N,""))</f>
        <v>Installation with low emissions</v>
      </c>
      <c r="D206" s="350"/>
      <c r="E206" s="350"/>
      <c r="F206" s="350"/>
      <c r="G206" s="347"/>
      <c r="H206" s="123" t="str">
        <f>_xlfn.CONCAT(_xlfn.XLOOKUP("[S05_DefaultValues][4][FuelMaterialType]",Submission!$O:$O,Submission!$H:$N,""))</f>
        <v>Anthrazit (Wärmeerzeugung)</v>
      </c>
      <c r="I206" s="106" t="str">
        <f>_xlfn.CONCAT(_xlfn.XLOOKUP("[S05_DefaultValues][4][InstallationNumber]",Submission!$O:$O,Submission!$H:$N,""))</f>
        <v>8</v>
      </c>
    </row>
    <row r="207" spans="1:9" ht="15.9" customHeight="1" x14ac:dyDescent="0.3">
      <c r="A207" s="13"/>
      <c r="B207" s="34"/>
      <c r="C207" s="281" t="str">
        <f>_xlfn.CONCAT(_xlfn.XLOOKUP("[S05_DefaultValues][5][InstallationCategory]",Submission!$O:$O,Submission!$H:$N,""))</f>
        <v>Installation with low emissions</v>
      </c>
      <c r="D207" s="350"/>
      <c r="E207" s="350"/>
      <c r="F207" s="350"/>
      <c r="G207" s="347"/>
      <c r="H207" s="123" t="str">
        <f>_xlfn.CONCAT(_xlfn.XLOOKUP("[S05_DefaultValues][5][FuelMaterialType]",Submission!$O:$O,Submission!$H:$N,""))</f>
        <v>BaCO3</v>
      </c>
      <c r="I207" s="106" t="str">
        <f>_xlfn.CONCAT(_xlfn.XLOOKUP("[S05_DefaultValues][5][InstallationNumber]",Submission!$O:$O,Submission!$H:$N,""))</f>
        <v>13</v>
      </c>
    </row>
    <row r="208" spans="1:9" ht="15.9" customHeight="1" x14ac:dyDescent="0.3">
      <c r="A208" s="13"/>
      <c r="B208" s="34"/>
      <c r="C208" s="281" t="str">
        <f>_xlfn.CONCAT(_xlfn.XLOOKUP("[S05_DefaultValues][6][InstallationCategory]",Submission!$O:$O,Submission!$H:$N,""))</f>
        <v>Installation with low emissions</v>
      </c>
      <c r="D208" s="350"/>
      <c r="E208" s="350"/>
      <c r="F208" s="350"/>
      <c r="G208" s="347"/>
      <c r="H208" s="123" t="str">
        <f>_xlfn.CONCAT(_xlfn.XLOOKUP("[S05_DefaultValues][6][FuelMaterialType]",Submission!$O:$O,Submission!$H:$N,""))</f>
        <v>Biodiesel</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Installation with low emissions</v>
      </c>
      <c r="D209" s="350"/>
      <c r="E209" s="350"/>
      <c r="F209" s="350"/>
      <c r="G209" s="347"/>
      <c r="H209" s="123" t="str">
        <f>_xlfn.CONCAT(_xlfn.XLOOKUP("[S05_DefaultValues][7][FuelMaterialType]",Submission!$O:$O,Submission!$H:$N,""))</f>
        <v>Biomasse-Brennstoff, Brennholz</v>
      </c>
      <c r="I209" s="106" t="str">
        <f>_xlfn.CONCAT(_xlfn.XLOOKUP("[S05_DefaultValues][7][InstallationNumber]",Submission!$O:$O,Submission!$H:$N,""))</f>
        <v>18</v>
      </c>
    </row>
    <row r="210" spans="1:9" ht="15.9" customHeight="1" x14ac:dyDescent="0.3">
      <c r="A210" s="13"/>
      <c r="B210" s="34"/>
      <c r="C210" s="281" t="str">
        <f>_xlfn.CONCAT(_xlfn.XLOOKUP("[S05_DefaultValues][8][InstallationCategory]",Submission!$O:$O,Submission!$H:$N,""))</f>
        <v>Installation with low emissions</v>
      </c>
      <c r="D210" s="350"/>
      <c r="E210" s="350"/>
      <c r="F210" s="350"/>
      <c r="G210" s="347"/>
      <c r="H210" s="123" t="str">
        <f>_xlfn.CONCAT(_xlfn.XLOOKUP("[S05_DefaultValues][8][FuelMaterialType]",Submission!$O:$O,Submission!$H:$N,""))</f>
        <v>Biomasse-Brennstoff, Rinde</v>
      </c>
      <c r="I210" s="106" t="str">
        <f>_xlfn.CONCAT(_xlfn.XLOOKUP("[S05_DefaultValues][8][InstallationNumber]",Submission!$O:$O,Submission!$H:$N,""))</f>
        <v>1</v>
      </c>
    </row>
    <row r="211" spans="1:9" ht="15.9" customHeight="1" x14ac:dyDescent="0.3">
      <c r="A211" s="13"/>
      <c r="B211" s="34"/>
      <c r="C211" s="281" t="str">
        <f>_xlfn.CONCAT(_xlfn.XLOOKUP("[S05_DefaultValues][9][InstallationCategory]",Submission!$O:$O,Submission!$H:$N,""))</f>
        <v>Installation with low emissions</v>
      </c>
      <c r="D211" s="350"/>
      <c r="E211" s="350"/>
      <c r="F211" s="350"/>
      <c r="G211" s="347"/>
      <c r="H211" s="123" t="str">
        <f>_xlfn.CONCAT(_xlfn.XLOOKUP("[S05_DefaultValues][9][FuelMaterialType]",Submission!$O:$O,Submission!$H:$N,""))</f>
        <v>Biomasse-Brennstoff, Sonstige feste</v>
      </c>
      <c r="I211" s="106" t="str">
        <f>_xlfn.CONCAT(_xlfn.XLOOKUP("[S05_DefaultValues][9][InstallationNumber]",Submission!$O:$O,Submission!$H:$N,""))</f>
        <v>12</v>
      </c>
    </row>
    <row r="212" spans="1:9" ht="15.9" customHeight="1" x14ac:dyDescent="0.3">
      <c r="A212" s="13"/>
      <c r="B212" s="34"/>
      <c r="C212" s="281" t="str">
        <f>_xlfn.CONCAT(_xlfn.XLOOKUP("[S05_DefaultValues][10][InstallationCategory]",Submission!$O:$O,Submission!$H:$N,""))</f>
        <v>Installation with low emissions</v>
      </c>
      <c r="D212" s="350"/>
      <c r="E212" s="350"/>
      <c r="F212" s="350"/>
      <c r="G212" s="347"/>
      <c r="H212" s="123" t="str">
        <f>_xlfn.CONCAT(_xlfn.XLOOKUP("[S05_DefaultValues][10][FuelMaterialType]",Submission!$O:$O,Submission!$H:$N,""))</f>
        <v>Biomasse-Brennstoff, Sonstige in [1000 Nm³]</v>
      </c>
      <c r="I212" s="106" t="str">
        <f>_xlfn.CONCAT(_xlfn.XLOOKUP("[S05_DefaultValues][10][InstallationNumber]",Submission!$O:$O,Submission!$H:$N,""))</f>
        <v>4</v>
      </c>
    </row>
    <row r="213" spans="1:9" ht="15.9" customHeight="1" x14ac:dyDescent="0.3">
      <c r="A213" s="13"/>
      <c r="B213" s="34"/>
      <c r="C213" s="281" t="str">
        <f>_xlfn.CONCAT(_xlfn.XLOOKUP("[S05_DefaultValues][11][InstallationCategory]",Submission!$O:$O,Submission!$H:$N,""))</f>
        <v>Installation with low emissions</v>
      </c>
      <c r="D213" s="350"/>
      <c r="E213" s="350"/>
      <c r="F213" s="350"/>
      <c r="G213" s="347"/>
      <c r="H213" s="123" t="str">
        <f>_xlfn.CONCAT(_xlfn.XLOOKUP("[S05_DefaultValues][11][FuelMaterialType]",Submission!$O:$O,Submission!$H:$N,""))</f>
        <v>Biomasse-Brennstoff, Sonstige in [t]</v>
      </c>
      <c r="I213" s="106" t="str">
        <f>_xlfn.CONCAT(_xlfn.XLOOKUP("[S05_DefaultValues][11][InstallationNumber]",Submission!$O:$O,Submission!$H:$N,""))</f>
        <v>17</v>
      </c>
    </row>
    <row r="214" spans="1:9" ht="15.9" customHeight="1" x14ac:dyDescent="0.3">
      <c r="A214" s="13"/>
      <c r="B214" s="34"/>
      <c r="C214" s="281" t="str">
        <f>_xlfn.CONCAT(_xlfn.XLOOKUP("[S05_DefaultValues][12][InstallationCategory]",Submission!$O:$O,Submission!$H:$N,""))</f>
        <v>Installation with low emissions</v>
      </c>
      <c r="D214" s="350"/>
      <c r="E214" s="350"/>
      <c r="F214" s="350"/>
      <c r="G214" s="347"/>
      <c r="H214" s="123" t="str">
        <f>_xlfn.CONCAT(_xlfn.XLOOKUP("[S05_DefaultValues][12][FuelMaterialType]",Submission!$O:$O,Submission!$H:$N,""))</f>
        <v>Biomasse-Brennstoff, Sonstiges Biogas</v>
      </c>
      <c r="I214" s="106" t="str">
        <f>_xlfn.CONCAT(_xlfn.XLOOKUP("[S05_DefaultValues][12][InstallationNumber]",Submission!$O:$O,Submission!$H:$N,""))</f>
        <v>1</v>
      </c>
    </row>
    <row r="215" spans="1:9" ht="15.9" customHeight="1" x14ac:dyDescent="0.3">
      <c r="A215" s="13"/>
      <c r="B215" s="34"/>
      <c r="C215" s="281" t="str">
        <f>_xlfn.CONCAT(_xlfn.XLOOKUP("[S05_DefaultValues][13][InstallationCategory]",Submission!$O:$O,Submission!$H:$N,""))</f>
        <v>Installation with low emissions</v>
      </c>
      <c r="D215" s="350"/>
      <c r="E215" s="350"/>
      <c r="F215" s="350"/>
      <c r="G215" s="347"/>
      <c r="H215" s="123" t="str">
        <f>_xlfn.CONCAT(_xlfn.XLOOKUP("[S05_DefaultValues][13][FuelMaterialType]",Submission!$O:$O,Submission!$H:$N,""))</f>
        <v>Braunkohlenbrikett Lausitz</v>
      </c>
      <c r="I215" s="106" t="str">
        <f>_xlfn.CONCAT(_xlfn.XLOOKUP("[S05_DefaultValues][13][InstallationNumber]",Submission!$O:$O,Submission!$H:$N,""))</f>
        <v>2</v>
      </c>
    </row>
    <row r="216" spans="1:9" ht="15.9" customHeight="1" x14ac:dyDescent="0.3">
      <c r="A216" s="13"/>
      <c r="B216" s="34"/>
      <c r="C216" s="281" t="str">
        <f>_xlfn.CONCAT(_xlfn.XLOOKUP("[S05_DefaultValues][14][InstallationCategory]",Submission!$O:$O,Submission!$H:$N,""))</f>
        <v>Installation with low emissions</v>
      </c>
      <c r="D216" s="350"/>
      <c r="E216" s="350"/>
      <c r="F216" s="350"/>
      <c r="G216" s="347"/>
      <c r="H216" s="123" t="str">
        <f>_xlfn.CONCAT(_xlfn.XLOOKUP("[S05_DefaultValues][14][FuelMaterialType]",Submission!$O:$O,Submission!$H:$N,""))</f>
        <v>Braunkohlenbrikett Rheinland</v>
      </c>
      <c r="I216" s="106" t="str">
        <f>_xlfn.CONCAT(_xlfn.XLOOKUP("[S05_DefaultValues][14][InstallationNumber]",Submission!$O:$O,Submission!$H:$N,""))</f>
        <v>1</v>
      </c>
    </row>
    <row r="217" spans="1:9" ht="15.9" customHeight="1" x14ac:dyDescent="0.3">
      <c r="A217" s="13"/>
      <c r="B217" s="34"/>
      <c r="C217" s="281" t="str">
        <f>_xlfn.CONCAT(_xlfn.XLOOKUP("[S05_DefaultValues][15][InstallationCategory]",Submission!$O:$O,Submission!$H:$N,""))</f>
        <v>Installation with low emissions</v>
      </c>
      <c r="D217" s="350"/>
      <c r="E217" s="350"/>
      <c r="F217" s="350"/>
      <c r="G217" s="347"/>
      <c r="H217" s="123" t="str">
        <f>_xlfn.CONCAT(_xlfn.XLOOKUP("[S05_DefaultValues][15][FuelMaterialType]",Submission!$O:$O,Submission!$H:$N,""))</f>
        <v>Braunkohlenstaub Lausitz</v>
      </c>
      <c r="I217" s="106" t="str">
        <f>_xlfn.CONCAT(_xlfn.XLOOKUP("[S05_DefaultValues][15][InstallationNumber]",Submission!$O:$O,Submission!$H:$N,""))</f>
        <v>2</v>
      </c>
    </row>
    <row r="218" spans="1:9" ht="15.9" customHeight="1" x14ac:dyDescent="0.3">
      <c r="A218" s="13"/>
      <c r="B218" s="34"/>
      <c r="C218" s="281" t="str">
        <f>_xlfn.CONCAT(_xlfn.XLOOKUP("[S05_DefaultValues][16][InstallationCategory]",Submission!$O:$O,Submission!$H:$N,""))</f>
        <v>Installation with low emissions</v>
      </c>
      <c r="D218" s="350"/>
      <c r="E218" s="350"/>
      <c r="F218" s="350"/>
      <c r="G218" s="347"/>
      <c r="H218" s="123" t="str">
        <f>_xlfn.CONCAT(_xlfn.XLOOKUP("[S05_DefaultValues][16][FuelMaterialType]",Submission!$O:$O,Submission!$H:$N,""))</f>
        <v>Braunkohlenstaub Rheinland</v>
      </c>
      <c r="I218" s="106" t="str">
        <f>_xlfn.CONCAT(_xlfn.XLOOKUP("[S05_DefaultValues][16][InstallationNumber]",Submission!$O:$O,Submission!$H:$N,""))</f>
        <v>1</v>
      </c>
    </row>
    <row r="219" spans="1:9" ht="15.9" customHeight="1" x14ac:dyDescent="0.3">
      <c r="A219" s="13"/>
      <c r="B219" s="34"/>
      <c r="C219" s="281" t="str">
        <f>_xlfn.CONCAT(_xlfn.XLOOKUP("[S05_DefaultValues][17][InstallationCategory]",Submission!$O:$O,Submission!$H:$N,""))</f>
        <v>Installation with low emissions</v>
      </c>
      <c r="D219" s="350"/>
      <c r="E219" s="350"/>
      <c r="F219" s="350"/>
      <c r="G219" s="347"/>
      <c r="H219" s="123" t="str">
        <f>_xlfn.CONCAT(_xlfn.XLOOKUP("[S05_DefaultValues][17][FuelMaterialType]",Submission!$O:$O,Submission!$H:$N,""))</f>
        <v>CaCO3</v>
      </c>
      <c r="I219" s="106" t="str">
        <f>_xlfn.CONCAT(_xlfn.XLOOKUP("[S05_DefaultValues][17][InstallationNumber]",Submission!$O:$O,Submission!$H:$N,""))</f>
        <v>75</v>
      </c>
    </row>
    <row r="220" spans="1:9" ht="15.9" customHeight="1" x14ac:dyDescent="0.3">
      <c r="A220" s="13"/>
      <c r="B220" s="34"/>
      <c r="C220" s="281" t="str">
        <f>_xlfn.CONCAT(_xlfn.XLOOKUP("[S05_DefaultValues][18][InstallationCategory]",Submission!$O:$O,Submission!$H:$N,""))</f>
        <v>Installation with low emissions</v>
      </c>
      <c r="D220" s="350"/>
      <c r="E220" s="350"/>
      <c r="F220" s="350"/>
      <c r="G220" s="347"/>
      <c r="H220" s="123" t="str">
        <f>_xlfn.CONCAT(_xlfn.XLOOKUP("[S05_DefaultValues][18][FuelMaterialType]",Submission!$O:$O,Submission!$H:$N,""))</f>
        <v>CaO</v>
      </c>
      <c r="I220" s="106" t="str">
        <f>_xlfn.CONCAT(_xlfn.XLOOKUP("[S05_DefaultValues][18][InstallationNumber]",Submission!$O:$O,Submission!$H:$N,""))</f>
        <v>2</v>
      </c>
    </row>
    <row r="221" spans="1:9" ht="15.9" customHeight="1" x14ac:dyDescent="0.3">
      <c r="A221" s="13"/>
      <c r="B221" s="34"/>
      <c r="C221" s="281" t="str">
        <f>_xlfn.CONCAT(_xlfn.XLOOKUP("[S05_DefaultValues][19][InstallationCategory]",Submission!$O:$O,Submission!$H:$N,""))</f>
        <v>Installation with low emissions</v>
      </c>
      <c r="D221" s="350"/>
      <c r="E221" s="350"/>
      <c r="F221" s="350"/>
      <c r="G221" s="347"/>
      <c r="H221" s="123" t="str">
        <f>_xlfn.CONCAT(_xlfn.XLOOKUP("[S05_DefaultValues][19][FuelMaterialType]",Submission!$O:$O,Submission!$H:$N,""))</f>
        <v>Dieselkraftstoff</v>
      </c>
      <c r="I221" s="106" t="str">
        <f>_xlfn.CONCAT(_xlfn.XLOOKUP("[S05_DefaultValues][19][InstallationNumber]",Submission!$O:$O,Submission!$H:$N,""))</f>
        <v>126</v>
      </c>
    </row>
    <row r="222" spans="1:9" ht="15.9" customHeight="1" x14ac:dyDescent="0.3">
      <c r="A222" s="13"/>
      <c r="B222" s="34"/>
      <c r="C222" s="281" t="str">
        <f>_xlfn.CONCAT(_xlfn.XLOOKUP("[S05_DefaultValues][20][InstallationCategory]",Submission!$O:$O,Submission!$H:$N,""))</f>
        <v>Installation with low emissions</v>
      </c>
      <c r="D222" s="350"/>
      <c r="E222" s="350"/>
      <c r="F222" s="350"/>
      <c r="G222" s="347"/>
      <c r="H222" s="123" t="str">
        <f>_xlfn.CONCAT(_xlfn.XLOOKUP("[S05_DefaultValues][20][FuelMaterialType]",Submission!$O:$O,Submission!$H:$N,""))</f>
        <v>Dolomit</v>
      </c>
      <c r="I222" s="106" t="str">
        <f>_xlfn.CONCAT(_xlfn.XLOOKUP("[S05_DefaultValues][20][InstallationNumber]",Submission!$O:$O,Submission!$H:$N,""))</f>
        <v>3</v>
      </c>
    </row>
    <row r="223" spans="1:9" ht="15.9" customHeight="1" x14ac:dyDescent="0.3">
      <c r="A223" s="13"/>
      <c r="B223" s="34"/>
      <c r="C223" s="281" t="str">
        <f>_xlfn.CONCAT(_xlfn.XLOOKUP("[S05_DefaultValues][21][InstallationCategory]",Submission!$O:$O,Submission!$H:$N,""))</f>
        <v>Installation with low emissions</v>
      </c>
      <c r="D223" s="350"/>
      <c r="E223" s="350"/>
      <c r="F223" s="350"/>
      <c r="G223" s="347"/>
      <c r="H223" s="123" t="str">
        <f>_xlfn.CONCAT(_xlfn.XLOOKUP("[S05_DefaultValues][21][FuelMaterialType]",Submission!$O:$O,Submission!$H:$N,""))</f>
        <v>Elektrodenabbrand/Anodenmaterial</v>
      </c>
      <c r="I223" s="106" t="str">
        <f>_xlfn.CONCAT(_xlfn.XLOOKUP("[S05_DefaultValues][21][InstallationNumber]",Submission!$O:$O,Submission!$H:$N,""))</f>
        <v>7</v>
      </c>
    </row>
    <row r="224" spans="1:9" ht="15.9" customHeight="1" x14ac:dyDescent="0.3">
      <c r="A224" s="13"/>
      <c r="B224" s="34"/>
      <c r="C224" s="281" t="str">
        <f>_xlfn.CONCAT(_xlfn.XLOOKUP("[S05_DefaultValues][22][InstallationCategory]",Submission!$O:$O,Submission!$H:$N,""))</f>
        <v>Installation with low emissions</v>
      </c>
      <c r="D224" s="350"/>
      <c r="E224" s="350"/>
      <c r="F224" s="350"/>
      <c r="G224" s="347"/>
      <c r="H224" s="123" t="str">
        <f>_xlfn.CONCAT(_xlfn.XLOOKUP("[S05_DefaultValues][22][FuelMaterialType]",Submission!$O:$O,Submission!$H:$N,""))</f>
        <v>Erdgas H</v>
      </c>
      <c r="I224" s="106" t="str">
        <f>_xlfn.CONCAT(_xlfn.XLOOKUP("[S05_DefaultValues][22][InstallationNumber]",Submission!$O:$O,Submission!$H:$N,""))</f>
        <v>481</v>
      </c>
    </row>
    <row r="225" spans="1:9" ht="15.9" customHeight="1" x14ac:dyDescent="0.3">
      <c r="A225" s="13"/>
      <c r="B225" s="34"/>
      <c r="C225" s="281" t="str">
        <f>_xlfn.CONCAT(_xlfn.XLOOKUP("[S05_DefaultValues][23][InstallationCategory]",Submission!$O:$O,Submission!$H:$N,""))</f>
        <v>Installation with low emissions</v>
      </c>
      <c r="D225" s="350"/>
      <c r="E225" s="350"/>
      <c r="F225" s="350"/>
      <c r="G225" s="347"/>
      <c r="H225" s="123" t="str">
        <f>_xlfn.CONCAT(_xlfn.XLOOKUP("[S05_DefaultValues][23][FuelMaterialType]",Submission!$O:$O,Submission!$H:$N,""))</f>
        <v>Erdgas L</v>
      </c>
      <c r="I225" s="106" t="str">
        <f>_xlfn.CONCAT(_xlfn.XLOOKUP("[S05_DefaultValues][23][InstallationNumber]",Submission!$O:$O,Submission!$H:$N,""))</f>
        <v>123</v>
      </c>
    </row>
    <row r="226" spans="1:9" ht="15.9" customHeight="1" x14ac:dyDescent="0.3">
      <c r="A226" s="13"/>
      <c r="B226" s="34"/>
      <c r="C226" s="281" t="str">
        <f>_xlfn.CONCAT(_xlfn.XLOOKUP("[S05_DefaultValues][24][InstallationCategory]",Submission!$O:$O,Submission!$H:$N,""))</f>
        <v>Installation with low emissions</v>
      </c>
      <c r="D226" s="350"/>
      <c r="E226" s="350"/>
      <c r="F226" s="350"/>
      <c r="G226" s="347"/>
      <c r="H226" s="123" t="str">
        <f>_xlfn.CONCAT(_xlfn.XLOOKUP("[S05_DefaultValues][24][FuelMaterialType]",Submission!$O:$O,Submission!$H:$N,""))</f>
        <v>Ersatzwert für Festbrennstoff</v>
      </c>
      <c r="I226" s="106" t="str">
        <f>_xlfn.CONCAT(_xlfn.XLOOKUP("[S05_DefaultValues][24][InstallationNumber]",Submission!$O:$O,Submission!$H:$N,""))</f>
        <v>2</v>
      </c>
    </row>
    <row r="227" spans="1:9" ht="15.9" customHeight="1" x14ac:dyDescent="0.3">
      <c r="A227" s="13"/>
      <c r="B227" s="34"/>
      <c r="C227" s="281" t="str">
        <f>_xlfn.CONCAT(_xlfn.XLOOKUP("[S05_DefaultValues][25][InstallationCategory]",Submission!$O:$O,Submission!$H:$N,""))</f>
        <v>Installation with low emissions</v>
      </c>
      <c r="D227" s="350"/>
      <c r="E227" s="350"/>
      <c r="F227" s="350"/>
      <c r="G227" s="347"/>
      <c r="H227" s="123" t="str">
        <f>_xlfn.CONCAT(_xlfn.XLOOKUP("[S05_DefaultValues][25][FuelMaterialType]",Submission!$O:$O,Submission!$H:$N,""))</f>
        <v>Ersatzwert für feste Produkte</v>
      </c>
      <c r="I227" s="106" t="str">
        <f>_xlfn.CONCAT(_xlfn.XLOOKUP("[S05_DefaultValues][25][InstallationNumber]",Submission!$O:$O,Submission!$H:$N,""))</f>
        <v>1</v>
      </c>
    </row>
    <row r="228" spans="1:9" ht="15.9" customHeight="1" x14ac:dyDescent="0.3">
      <c r="A228" s="13"/>
      <c r="B228" s="34"/>
      <c r="C228" s="281" t="str">
        <f>_xlfn.CONCAT(_xlfn.XLOOKUP("[S05_DefaultValues][26][InstallationCategory]",Submission!$O:$O,Submission!$H:$N,""))</f>
        <v>Installation with low emissions</v>
      </c>
      <c r="D228" s="350"/>
      <c r="E228" s="350"/>
      <c r="F228" s="350"/>
      <c r="G228" s="347"/>
      <c r="H228" s="123" t="str">
        <f>_xlfn.CONCAT(_xlfn.XLOOKUP("[S05_DefaultValues][26][FuelMaterialType]",Submission!$O:$O,Submission!$H:$N,""))</f>
        <v>Ersatzwert für feste Stoffe</v>
      </c>
      <c r="I228" s="106" t="str">
        <f>_xlfn.CONCAT(_xlfn.XLOOKUP("[S05_DefaultValues][26][InstallationNumber]",Submission!$O:$O,Submission!$H:$N,""))</f>
        <v>26</v>
      </c>
    </row>
    <row r="229" spans="1:9" ht="15.9" customHeight="1" x14ac:dyDescent="0.3">
      <c r="A229" s="13"/>
      <c r="B229" s="34"/>
      <c r="C229" s="281" t="str">
        <f>_xlfn.CONCAT(_xlfn.XLOOKUP("[S05_DefaultValues][27][InstallationCategory]",Submission!$O:$O,Submission!$H:$N,""))</f>
        <v>Installation with low emissions</v>
      </c>
      <c r="D229" s="350"/>
      <c r="E229" s="350"/>
      <c r="F229" s="350"/>
      <c r="G229" s="347"/>
      <c r="H229" s="123" t="str">
        <f>_xlfn.CONCAT(_xlfn.XLOOKUP("[S05_DefaultValues][27][FuelMaterialType]",Submission!$O:$O,Submission!$H:$N,""))</f>
        <v>Ersatzwert für Flüssigbrennstoff</v>
      </c>
      <c r="I229" s="106" t="str">
        <f>_xlfn.CONCAT(_xlfn.XLOOKUP("[S05_DefaultValues][27][InstallationNumber]",Submission!$O:$O,Submission!$H:$N,""))</f>
        <v>4</v>
      </c>
    </row>
    <row r="230" spans="1:9" ht="15.9" customHeight="1" x14ac:dyDescent="0.3">
      <c r="A230" s="13"/>
      <c r="B230" s="34"/>
      <c r="C230" s="281" t="str">
        <f>_xlfn.CONCAT(_xlfn.XLOOKUP("[S05_DefaultValues][28][InstallationCategory]",Submission!$O:$O,Submission!$H:$N,""))</f>
        <v>Installation with low emissions</v>
      </c>
      <c r="D230" s="350"/>
      <c r="E230" s="350"/>
      <c r="F230" s="350"/>
      <c r="G230" s="347"/>
      <c r="H230" s="123" t="str">
        <f>_xlfn.CONCAT(_xlfn.XLOOKUP("[S05_DefaultValues][28][FuelMaterialType]",Submission!$O:$O,Submission!$H:$N,""))</f>
        <v>Ersatzwert für flüssige Stoffe</v>
      </c>
      <c r="I230" s="106" t="str">
        <f>_xlfn.CONCAT(_xlfn.XLOOKUP("[S05_DefaultValues][28][InstallationNumber]",Submission!$O:$O,Submission!$H:$N,""))</f>
        <v>12</v>
      </c>
    </row>
    <row r="231" spans="1:9" ht="15.9" customHeight="1" x14ac:dyDescent="0.3">
      <c r="A231" s="13"/>
      <c r="B231" s="34"/>
      <c r="C231" s="281" t="str">
        <f>_xlfn.CONCAT(_xlfn.XLOOKUP("[S05_DefaultValues][29][InstallationCategory]",Submission!$O:$O,Submission!$H:$N,""))</f>
        <v>Installation with low emissions</v>
      </c>
      <c r="D231" s="350"/>
      <c r="E231" s="350"/>
      <c r="F231" s="350"/>
      <c r="G231" s="347"/>
      <c r="H231" s="123" t="str">
        <f>_xlfn.CONCAT(_xlfn.XLOOKUP("[S05_DefaultValues][29][FuelMaterialType]",Submission!$O:$O,Submission!$H:$N,""))</f>
        <v>Ersatzwert für gasförmige Stoffe</v>
      </c>
      <c r="I231" s="106" t="str">
        <f>_xlfn.CONCAT(_xlfn.XLOOKUP("[S05_DefaultValues][29][InstallationNumber]",Submission!$O:$O,Submission!$H:$N,""))</f>
        <v>11</v>
      </c>
    </row>
    <row r="232" spans="1:9" ht="15.9" customHeight="1" x14ac:dyDescent="0.3">
      <c r="A232" s="13"/>
      <c r="B232" s="34"/>
      <c r="C232" s="281" t="str">
        <f>_xlfn.CONCAT(_xlfn.XLOOKUP("[S05_DefaultValues][30][InstallationCategory]",Submission!$O:$O,Submission!$H:$N,""))</f>
        <v>Installation with low emissions</v>
      </c>
      <c r="D232" s="350"/>
      <c r="E232" s="350"/>
      <c r="F232" s="350"/>
      <c r="G232" s="347"/>
      <c r="H232" s="123" t="str">
        <f>_xlfn.CONCAT(_xlfn.XLOOKUP("[S05_DefaultValues][30][FuelMaterialType]",Submission!$O:$O,Submission!$H:$N,""))</f>
        <v>Ersatzwert für gasförmige Stoffe in [t]</v>
      </c>
      <c r="I232" s="106" t="str">
        <f>_xlfn.CONCAT(_xlfn.XLOOKUP("[S05_DefaultValues][30][InstallationNumber]",Submission!$O:$O,Submission!$H:$N,""))</f>
        <v>4</v>
      </c>
    </row>
    <row r="233" spans="1:9" ht="15.9" customHeight="1" x14ac:dyDescent="0.3">
      <c r="A233" s="13"/>
      <c r="B233" s="34"/>
      <c r="C233" s="281" t="str">
        <f>_xlfn.CONCAT(_xlfn.XLOOKUP("[S05_DefaultValues][31][InstallationCategory]",Submission!$O:$O,Submission!$H:$N,""))</f>
        <v>Installation with low emissions</v>
      </c>
      <c r="D233" s="350"/>
      <c r="E233" s="350"/>
      <c r="F233" s="350"/>
      <c r="G233" s="347"/>
      <c r="H233" s="123" t="str">
        <f>_xlfn.CONCAT(_xlfn.XLOOKUP("[S05_DefaultValues][31][FuelMaterialType]",Submission!$O:$O,Submission!$H:$N,""))</f>
        <v>Ersatzwert für gasförmigen Brennstoff in [1000 Nm³]</v>
      </c>
      <c r="I233" s="106" t="str">
        <f>_xlfn.CONCAT(_xlfn.XLOOKUP("[S05_DefaultValues][31][InstallationNumber]",Submission!$O:$O,Submission!$H:$N,""))</f>
        <v>9</v>
      </c>
    </row>
    <row r="234" spans="1:9" ht="15.9" customHeight="1" x14ac:dyDescent="0.3">
      <c r="A234" s="13"/>
      <c r="B234" s="34"/>
      <c r="C234" s="281" t="str">
        <f>_xlfn.CONCAT(_xlfn.XLOOKUP("[S05_DefaultValues][32][InstallationCategory]",Submission!$O:$O,Submission!$H:$N,""))</f>
        <v>Installation with low emissions</v>
      </c>
      <c r="D234" s="350"/>
      <c r="E234" s="350"/>
      <c r="F234" s="350"/>
      <c r="G234" s="347"/>
      <c r="H234" s="123" t="str">
        <f>_xlfn.CONCAT(_xlfn.XLOOKUP("[S05_DefaultValues][32][FuelMaterialType]",Submission!$O:$O,Submission!$H:$N,""))</f>
        <v>Ersatzwert für gasförmigen Brennstoff in [t]</v>
      </c>
      <c r="I234" s="106" t="str">
        <f>_xlfn.CONCAT(_xlfn.XLOOKUP("[S05_DefaultValues][32][InstallationNumber]",Submission!$O:$O,Submission!$H:$N,""))</f>
        <v>4</v>
      </c>
    </row>
    <row r="235" spans="1:9" ht="15.9" customHeight="1" x14ac:dyDescent="0.3">
      <c r="A235" s="13"/>
      <c r="B235" s="34"/>
      <c r="C235" s="281" t="str">
        <f>_xlfn.CONCAT(_xlfn.XLOOKUP("[S05_DefaultValues][33][InstallationCategory]",Submission!$O:$O,Submission!$H:$N,""))</f>
        <v>Installation with low emissions</v>
      </c>
      <c r="D235" s="350"/>
      <c r="E235" s="350"/>
      <c r="F235" s="350"/>
      <c r="G235" s="347"/>
      <c r="H235" s="123" t="str">
        <f>_xlfn.CONCAT(_xlfn.XLOOKUP("[S05_DefaultValues][33][FuelMaterialType]",Submission!$O:$O,Submission!$H:$N,""))</f>
        <v>Ethan</v>
      </c>
      <c r="I235" s="106" t="str">
        <f>_xlfn.CONCAT(_xlfn.XLOOKUP("[S05_DefaultValues][33][InstallationNumber]",Submission!$O:$O,Submission!$H:$N,""))</f>
        <v>2</v>
      </c>
    </row>
    <row r="236" spans="1:9" ht="15.9" customHeight="1" x14ac:dyDescent="0.3">
      <c r="A236" s="13"/>
      <c r="B236" s="34"/>
      <c r="C236" s="281" t="str">
        <f>_xlfn.CONCAT(_xlfn.XLOOKUP("[S05_DefaultValues][34][InstallationCategory]",Submission!$O:$O,Submission!$H:$N,""))</f>
        <v>Installation with low emissions</v>
      </c>
      <c r="D236" s="350"/>
      <c r="E236" s="350"/>
      <c r="F236" s="350"/>
      <c r="G236" s="347"/>
      <c r="H236" s="123" t="str">
        <f>_xlfn.CONCAT(_xlfn.XLOOKUP("[S05_DefaultValues][34][FuelMaterialType]",Submission!$O:$O,Submission!$H:$N,""))</f>
        <v>Ethylen</v>
      </c>
      <c r="I236" s="106" t="str">
        <f>_xlfn.CONCAT(_xlfn.XLOOKUP("[S05_DefaultValues][34][InstallationNumber]",Submission!$O:$O,Submission!$H:$N,""))</f>
        <v>5</v>
      </c>
    </row>
    <row r="237" spans="1:9" ht="15.9" customHeight="1" x14ac:dyDescent="0.3">
      <c r="A237" s="13"/>
      <c r="B237" s="34"/>
      <c r="C237" s="281" t="str">
        <f>_xlfn.CONCAT(_xlfn.XLOOKUP("[S05_DefaultValues][35][InstallationCategory]",Submission!$O:$O,Submission!$H:$N,""))</f>
        <v>Installation with low emissions</v>
      </c>
      <c r="D237" s="350"/>
      <c r="E237" s="350"/>
      <c r="F237" s="350"/>
      <c r="G237" s="347"/>
      <c r="H237" s="123" t="str">
        <f>_xlfn.CONCAT(_xlfn.XLOOKUP("[S05_DefaultValues][35][FuelMaterialType]",Submission!$O:$O,Submission!$H:$N,""))</f>
        <v>Ethylendichlorid</v>
      </c>
      <c r="I237" s="106" t="str">
        <f>_xlfn.CONCAT(_xlfn.XLOOKUP("[S05_DefaultValues][35][InstallationNumber]",Submission!$O:$O,Submission!$H:$N,""))</f>
        <v>2</v>
      </c>
    </row>
    <row r="238" spans="1:9" ht="15.9" customHeight="1" x14ac:dyDescent="0.3">
      <c r="A238" s="13"/>
      <c r="B238" s="34"/>
      <c r="C238" s="281" t="str">
        <f>_xlfn.CONCAT(_xlfn.XLOOKUP("[S05_DefaultValues][36][InstallationCategory]",Submission!$O:$O,Submission!$H:$N,""))</f>
        <v>Installation with low emissions</v>
      </c>
      <c r="D238" s="350"/>
      <c r="E238" s="350"/>
      <c r="F238" s="350"/>
      <c r="G238" s="347"/>
      <c r="H238" s="123" t="str">
        <f>_xlfn.CONCAT(_xlfn.XLOOKUP("[S05_DefaultValues][36][FuelMaterialType]",Submission!$O:$O,Submission!$H:$N,""))</f>
        <v>Ethylenglykol</v>
      </c>
      <c r="I238" s="106" t="str">
        <f>_xlfn.CONCAT(_xlfn.XLOOKUP("[S05_DefaultValues][36][InstallationNumber]",Submission!$O:$O,Submission!$H:$N,""))</f>
        <v>1</v>
      </c>
    </row>
    <row r="239" spans="1:9" ht="15.9" customHeight="1" x14ac:dyDescent="0.3">
      <c r="A239" s="13"/>
      <c r="B239" s="34"/>
      <c r="C239" s="281" t="str">
        <f>_xlfn.CONCAT(_xlfn.XLOOKUP("[S05_DefaultValues][37][InstallationCategory]",Submission!$O:$O,Submission!$H:$N,""))</f>
        <v>Installation with low emissions</v>
      </c>
      <c r="D239" s="350"/>
      <c r="E239" s="350"/>
      <c r="F239" s="350"/>
      <c r="G239" s="347"/>
      <c r="H239" s="123" t="str">
        <f>_xlfn.CONCAT(_xlfn.XLOOKUP("[S05_DefaultValues][37][FuelMaterialType]",Submission!$O:$O,Submission!$H:$N,""))</f>
        <v>Fettkohle</v>
      </c>
      <c r="I239" s="106" t="str">
        <f>_xlfn.CONCAT(_xlfn.XLOOKUP("[S05_DefaultValues][37][InstallationNumber]",Submission!$O:$O,Submission!$H:$N,""))</f>
        <v>1</v>
      </c>
    </row>
    <row r="240" spans="1:9" ht="15.9" customHeight="1" x14ac:dyDescent="0.3">
      <c r="A240" s="13"/>
      <c r="B240" s="34"/>
      <c r="C240" s="281" t="str">
        <f>_xlfn.CONCAT(_xlfn.XLOOKUP("[S05_DefaultValues][38][InstallationCategory]",Submission!$O:$O,Submission!$H:$N,""))</f>
        <v>Installation with low emissions</v>
      </c>
      <c r="D240" s="350"/>
      <c r="E240" s="350"/>
      <c r="F240" s="350"/>
      <c r="G240" s="347"/>
      <c r="H240" s="123" t="str">
        <f>_xlfn.CONCAT(_xlfn.XLOOKUP("[S05_DefaultValues][38][FuelMaterialType]",Submission!$O:$O,Submission!$H:$N,""))</f>
        <v>Flugturbinenkraftstoff</v>
      </c>
      <c r="I240" s="106" t="str">
        <f>_xlfn.CONCAT(_xlfn.XLOOKUP("[S05_DefaultValues][38][InstallationNumber]",Submission!$O:$O,Submission!$H:$N,""))</f>
        <v>14</v>
      </c>
    </row>
    <row r="241" spans="1:9" ht="15.9" customHeight="1" x14ac:dyDescent="0.3">
      <c r="A241" s="13"/>
      <c r="B241" s="34"/>
      <c r="C241" s="281" t="str">
        <f>_xlfn.CONCAT(_xlfn.XLOOKUP("[S05_DefaultValues][39][InstallationCategory]",Submission!$O:$O,Submission!$H:$N,""))</f>
        <v>Installation with low emissions</v>
      </c>
      <c r="D241" s="350"/>
      <c r="E241" s="350"/>
      <c r="F241" s="350"/>
      <c r="G241" s="347"/>
      <c r="H241" s="123" t="str">
        <f>_xlfn.CONCAT(_xlfn.XLOOKUP("[S05_DefaultValues][39][FuelMaterialType]",Submission!$O:$O,Submission!$H:$N,""))</f>
        <v>Flüssiggas</v>
      </c>
      <c r="I241" s="106" t="str">
        <f>_xlfn.CONCAT(_xlfn.XLOOKUP("[S05_DefaultValues][39][InstallationNumber]",Submission!$O:$O,Submission!$H:$N,""))</f>
        <v>8</v>
      </c>
    </row>
    <row r="242" spans="1:9" ht="15.9" customHeight="1" x14ac:dyDescent="0.3">
      <c r="A242" s="13"/>
      <c r="B242" s="34"/>
      <c r="C242" s="281" t="str">
        <f>_xlfn.CONCAT(_xlfn.XLOOKUP("[S05_DefaultValues][40][InstallationCategory]",Submission!$O:$O,Submission!$H:$N,""))</f>
        <v>Installation with low emissions</v>
      </c>
      <c r="D242" s="350"/>
      <c r="E242" s="350"/>
      <c r="F242" s="350"/>
      <c r="G242" s="347"/>
      <c r="H242" s="123" t="str">
        <f>_xlfn.CONCAT(_xlfn.XLOOKUP("[S05_DefaultValues][40][FuelMaterialType]",Submission!$O:$O,Submission!$H:$N,""))</f>
        <v>Flüssiggas (100% Butan)</v>
      </c>
      <c r="I242" s="106" t="str">
        <f>_xlfn.CONCAT(_xlfn.XLOOKUP("[S05_DefaultValues][40][InstallationNumber]",Submission!$O:$O,Submission!$H:$N,""))</f>
        <v>3</v>
      </c>
    </row>
    <row r="243" spans="1:9" ht="15.9" hidden="1" customHeight="1" outlineLevel="1" x14ac:dyDescent="0.3">
      <c r="A243" s="13"/>
      <c r="B243" s="34"/>
      <c r="C243" s="281" t="str">
        <f>_xlfn.CONCAT(_xlfn.XLOOKUP("[S05_DefaultValues][41][InstallationCategory]",Submission!$O:$O,Submission!$H:$N,""))</f>
        <v>Installation with low emissions</v>
      </c>
      <c r="D243" s="350"/>
      <c r="E243" s="350"/>
      <c r="F243" s="350"/>
      <c r="G243" s="347"/>
      <c r="H243" s="123" t="str">
        <f>_xlfn.CONCAT(_xlfn.XLOOKUP("[S05_DefaultValues][41][FuelMaterialType]",Submission!$O:$O,Submission!$H:$N,""))</f>
        <v>Flüssiggas (100% Propan)</v>
      </c>
      <c r="I243" s="106" t="str">
        <f>_xlfn.CONCAT(_xlfn.XLOOKUP("[S05_DefaultValues][41][InstallationNumber]",Submission!$O:$O,Submission!$H:$N,""))</f>
        <v>31</v>
      </c>
    </row>
    <row r="244" spans="1:9" ht="15.9" hidden="1" customHeight="1" outlineLevel="1" x14ac:dyDescent="0.3">
      <c r="A244" s="13"/>
      <c r="B244" s="34"/>
      <c r="C244" s="281" t="str">
        <f>_xlfn.CONCAT(_xlfn.XLOOKUP("[S05_DefaultValues][42][InstallationCategory]",Submission!$O:$O,Submission!$H:$N,""))</f>
        <v>Installation with low emissions</v>
      </c>
      <c r="D244" s="350"/>
      <c r="E244" s="350"/>
      <c r="F244" s="350"/>
      <c r="G244" s="347"/>
      <c r="H244" s="123" t="str">
        <f>_xlfn.CONCAT(_xlfn.XLOOKUP("[S05_DefaultValues][42][FuelMaterialType]",Submission!$O:$O,Submission!$H:$N,""))</f>
        <v>Glyoxal</v>
      </c>
      <c r="I244" s="106" t="str">
        <f>_xlfn.CONCAT(_xlfn.XLOOKUP("[S05_DefaultValues][42][InstallationNumber]",Submission!$O:$O,Submission!$H:$N,""))</f>
        <v>1</v>
      </c>
    </row>
    <row r="245" spans="1:9" ht="15.9" hidden="1" customHeight="1" outlineLevel="1" x14ac:dyDescent="0.3">
      <c r="A245" s="13"/>
      <c r="B245" s="34"/>
      <c r="C245" s="281" t="str">
        <f>_xlfn.CONCAT(_xlfn.XLOOKUP("[S05_DefaultValues][43][InstallationCategory]",Submission!$O:$O,Submission!$H:$N,""))</f>
        <v>Installation with low emissions</v>
      </c>
      <c r="D245" s="350"/>
      <c r="E245" s="350"/>
      <c r="F245" s="350"/>
      <c r="G245" s="347"/>
      <c r="H245" s="123" t="str">
        <f>_xlfn.CONCAT(_xlfn.XLOOKUP("[S05_DefaultValues][43][FuelMaterialType]",Submission!$O:$O,Submission!$H:$N,""))</f>
        <v>Harnstoff/Urea</v>
      </c>
      <c r="I245" s="106" t="str">
        <f>_xlfn.CONCAT(_xlfn.XLOOKUP("[S05_DefaultValues][43][InstallationNumber]",Submission!$O:$O,Submission!$H:$N,""))</f>
        <v>16</v>
      </c>
    </row>
    <row r="246" spans="1:9" ht="15.9" hidden="1" customHeight="1" outlineLevel="1" x14ac:dyDescent="0.3">
      <c r="A246" s="13"/>
      <c r="B246" s="34"/>
      <c r="C246" s="281" t="str">
        <f>_xlfn.CONCAT(_xlfn.XLOOKUP("[S05_DefaultValues][44][InstallationCategory]",Submission!$O:$O,Submission!$H:$N,""))</f>
        <v>Installation with low emissions</v>
      </c>
      <c r="D246" s="350"/>
      <c r="E246" s="350"/>
      <c r="F246" s="350"/>
      <c r="G246" s="347"/>
      <c r="H246" s="123" t="str">
        <f>_xlfn.CONCAT(_xlfn.XLOOKUP("[S05_DefaultValues][44][FuelMaterialType]",Submission!$O:$O,Submission!$H:$N,""))</f>
        <v>Heizgas (Ersatzwert)</v>
      </c>
      <c r="I246" s="106" t="str">
        <f>_xlfn.CONCAT(_xlfn.XLOOKUP("[S05_DefaultValues][44][InstallationNumber]",Submission!$O:$O,Submission!$H:$N,""))</f>
        <v>1</v>
      </c>
    </row>
    <row r="247" spans="1:9" ht="15.9" hidden="1" customHeight="1" outlineLevel="1" x14ac:dyDescent="0.3">
      <c r="A247" s="13"/>
      <c r="B247" s="34"/>
      <c r="C247" s="281" t="str">
        <f>_xlfn.CONCAT(_xlfn.XLOOKUP("[S05_DefaultValues][45][InstallationCategory]",Submission!$O:$O,Submission!$H:$N,""))</f>
        <v>Installation with low emissions</v>
      </c>
      <c r="D247" s="350"/>
      <c r="E247" s="350"/>
      <c r="F247" s="350"/>
      <c r="G247" s="347"/>
      <c r="H247" s="123" t="str">
        <f>_xlfn.CONCAT(_xlfn.XLOOKUP("[S05_DefaultValues][45][FuelMaterialType]",Submission!$O:$O,Submission!$H:$N,""))</f>
        <v>Heizöl EL nach DIN 51603, Teil 1</v>
      </c>
      <c r="I247" s="106" t="str">
        <f>_xlfn.CONCAT(_xlfn.XLOOKUP("[S05_DefaultValues][45][InstallationNumber]",Submission!$O:$O,Submission!$H:$N,""))</f>
        <v>349</v>
      </c>
    </row>
    <row r="248" spans="1:9" ht="15.9" hidden="1" customHeight="1" outlineLevel="1" x14ac:dyDescent="0.3">
      <c r="A248" s="13"/>
      <c r="B248" s="34"/>
      <c r="C248" s="281" t="str">
        <f>_xlfn.CONCAT(_xlfn.XLOOKUP("[S05_DefaultValues][46][InstallationCategory]",Submission!$O:$O,Submission!$H:$N,""))</f>
        <v>Installation with low emissions</v>
      </c>
      <c r="D248" s="350"/>
      <c r="E248" s="350"/>
      <c r="F248" s="350"/>
      <c r="G248" s="347"/>
      <c r="H248" s="123" t="str">
        <f>_xlfn.CONCAT(_xlfn.XLOOKUP("[S05_DefaultValues][46][FuelMaterialType]",Submission!$O:$O,Submission!$H:$N,""))</f>
        <v>Heizöl S nach DIN 51603, Teil 3</v>
      </c>
      <c r="I248" s="106" t="str">
        <f>_xlfn.CONCAT(_xlfn.XLOOKUP("[S05_DefaultValues][46][InstallationNumber]",Submission!$O:$O,Submission!$H:$N,""))</f>
        <v>10</v>
      </c>
    </row>
    <row r="249" spans="1:9" ht="15.9" hidden="1" customHeight="1" outlineLevel="1" x14ac:dyDescent="0.3">
      <c r="A249" s="13"/>
      <c r="B249" s="34"/>
      <c r="C249" s="281" t="str">
        <f>_xlfn.CONCAT(_xlfn.XLOOKUP("[S05_DefaultValues][47][InstallationCategory]",Submission!$O:$O,Submission!$H:$N,""))</f>
        <v>Installation with low emissions</v>
      </c>
      <c r="D249" s="350"/>
      <c r="E249" s="350"/>
      <c r="F249" s="350"/>
      <c r="G249" s="347"/>
      <c r="H249" s="123" t="str">
        <f>_xlfn.CONCAT(_xlfn.XLOOKUP("[S05_DefaultValues][47][FuelMaterialType]",Submission!$O:$O,Submission!$H:$N,""))</f>
        <v>Holzkohle</v>
      </c>
      <c r="I249" s="106" t="str">
        <f>_xlfn.CONCAT(_xlfn.XLOOKUP("[S05_DefaultValues][47][InstallationNumber]",Submission!$O:$O,Submission!$H:$N,""))</f>
        <v>2</v>
      </c>
    </row>
    <row r="250" spans="1:9" ht="15.9" hidden="1" customHeight="1" outlineLevel="1" x14ac:dyDescent="0.3">
      <c r="A250" s="13"/>
      <c r="B250" s="34"/>
      <c r="C250" s="281" t="str">
        <f>_xlfn.CONCAT(_xlfn.XLOOKUP("[S05_DefaultValues][48][InstallationCategory]",Submission!$O:$O,Submission!$H:$N,""))</f>
        <v>Installation with low emissions</v>
      </c>
      <c r="D250" s="350"/>
      <c r="E250" s="350"/>
      <c r="F250" s="350"/>
      <c r="G250" s="347"/>
      <c r="H250" s="123" t="str">
        <f>_xlfn.CONCAT(_xlfn.XLOOKUP("[S05_DefaultValues][48][FuelMaterialType]",Submission!$O:$O,Submission!$H:$N,""))</f>
        <v>K2CO3</v>
      </c>
      <c r="I250" s="106" t="str">
        <f>_xlfn.CONCAT(_xlfn.XLOOKUP("[S05_DefaultValues][48][InstallationNumber]",Submission!$O:$O,Submission!$H:$N,""))</f>
        <v>8</v>
      </c>
    </row>
    <row r="251" spans="1:9" ht="15.9" hidden="1" customHeight="1" outlineLevel="1" x14ac:dyDescent="0.3">
      <c r="A251" s="13"/>
      <c r="B251" s="34"/>
      <c r="C251" s="281" t="str">
        <f>_xlfn.CONCAT(_xlfn.XLOOKUP("[S05_DefaultValues][49][InstallationCategory]",Submission!$O:$O,Submission!$H:$N,""))</f>
        <v>Installation with low emissions</v>
      </c>
      <c r="D251" s="350"/>
      <c r="E251" s="350"/>
      <c r="F251" s="350"/>
      <c r="G251" s="347"/>
      <c r="H251" s="123" t="str">
        <f>_xlfn.CONCAT(_xlfn.XLOOKUP("[S05_DefaultValues][49][FuelMaterialType]",Submission!$O:$O,Submission!$H:$N,""))</f>
        <v>Kohlendioxid</v>
      </c>
      <c r="I251" s="106" t="str">
        <f>_xlfn.CONCAT(_xlfn.XLOOKUP("[S05_DefaultValues][49][InstallationNumber]",Submission!$O:$O,Submission!$H:$N,""))</f>
        <v>12</v>
      </c>
    </row>
    <row r="252" spans="1:9" ht="15.9" hidden="1" customHeight="1" outlineLevel="1" x14ac:dyDescent="0.3">
      <c r="A252" s="13"/>
      <c r="B252" s="34"/>
      <c r="C252" s="281" t="str">
        <f>_xlfn.CONCAT(_xlfn.XLOOKUP("[S05_DefaultValues][50][InstallationCategory]",Submission!$O:$O,Submission!$H:$N,""))</f>
        <v>Installation with low emissions</v>
      </c>
      <c r="D252" s="350"/>
      <c r="E252" s="350"/>
      <c r="F252" s="350"/>
      <c r="G252" s="347"/>
      <c r="H252" s="123" t="str">
        <f>_xlfn.CONCAT(_xlfn.XLOOKUP("[S05_DefaultValues][50][FuelMaterialType]",Submission!$O:$O,Submission!$H:$N,""))</f>
        <v>Kohlenmonoxid</v>
      </c>
      <c r="I252" s="106" t="str">
        <f>_xlfn.CONCAT(_xlfn.XLOOKUP("[S05_DefaultValues][50][InstallationNumber]",Submission!$O:$O,Submission!$H:$N,""))</f>
        <v>3</v>
      </c>
    </row>
    <row r="253" spans="1:9" ht="15.9" hidden="1" customHeight="1" outlineLevel="1" x14ac:dyDescent="0.3">
      <c r="A253" s="13"/>
      <c r="B253" s="34"/>
      <c r="C253" s="281" t="str">
        <f>_xlfn.CONCAT(_xlfn.XLOOKUP("[S05_DefaultValues][51][InstallationCategory]",Submission!$O:$O,Submission!$H:$N,""))</f>
        <v>Installation with low emissions</v>
      </c>
      <c r="D253" s="350"/>
      <c r="E253" s="350"/>
      <c r="F253" s="350"/>
      <c r="G253" s="347"/>
      <c r="H253" s="123" t="str">
        <f>_xlfn.CONCAT(_xlfn.XLOOKUP("[S05_DefaultValues][51][FuelMaterialType]",Submission!$O:$O,Submission!$H:$N,""))</f>
        <v>Kokskohle</v>
      </c>
      <c r="I253" s="106" t="str">
        <f>_xlfn.CONCAT(_xlfn.XLOOKUP("[S05_DefaultValues][51][InstallationNumber]",Submission!$O:$O,Submission!$H:$N,""))</f>
        <v>1</v>
      </c>
    </row>
    <row r="254" spans="1:9" ht="15.9" hidden="1" customHeight="1" outlineLevel="1" x14ac:dyDescent="0.3">
      <c r="A254" s="13"/>
      <c r="B254" s="34"/>
      <c r="C254" s="281" t="str">
        <f>_xlfn.CONCAT(_xlfn.XLOOKUP("[S05_DefaultValues][52][InstallationCategory]",Submission!$O:$O,Submission!$H:$N,""))</f>
        <v>Installation with low emissions</v>
      </c>
      <c r="D254" s="350"/>
      <c r="E254" s="350"/>
      <c r="F254" s="350"/>
      <c r="G254" s="347"/>
      <c r="H254" s="123" t="str">
        <f>_xlfn.CONCAT(_xlfn.XLOOKUP("[S05_DefaultValues][52][FuelMaterialType]",Submission!$O:$O,Submission!$H:$N,""))</f>
        <v>LBO-Beschickungs-Kohlenstoff</v>
      </c>
      <c r="I254" s="106" t="str">
        <f>_xlfn.CONCAT(_xlfn.XLOOKUP("[S05_DefaultValues][52][InstallationNumber]",Submission!$O:$O,Submission!$H:$N,""))</f>
        <v>3</v>
      </c>
    </row>
    <row r="255" spans="1:9" ht="15.9" hidden="1" customHeight="1" outlineLevel="1" x14ac:dyDescent="0.3">
      <c r="A255" s="13"/>
      <c r="B255" s="34"/>
      <c r="C255" s="281" t="str">
        <f>_xlfn.CONCAT(_xlfn.XLOOKUP("[S05_DefaultValues][53][InstallationCategory]",Submission!$O:$O,Submission!$H:$N,""))</f>
        <v>Installation with low emissions</v>
      </c>
      <c r="D255" s="350"/>
      <c r="E255" s="350"/>
      <c r="F255" s="350"/>
      <c r="G255" s="347"/>
      <c r="H255" s="123" t="str">
        <f>_xlfn.CONCAT(_xlfn.XLOOKUP("[S05_DefaultValues][53][FuelMaterialType]",Submission!$O:$O,Submission!$H:$N,""))</f>
        <v>Legierungsbestandteile</v>
      </c>
      <c r="I255" s="106" t="str">
        <f>_xlfn.CONCAT(_xlfn.XLOOKUP("[S05_DefaultValues][53][InstallationNumber]",Submission!$O:$O,Submission!$H:$N,""))</f>
        <v>3</v>
      </c>
    </row>
    <row r="256" spans="1:9" ht="15.9" hidden="1" customHeight="1" outlineLevel="1" x14ac:dyDescent="0.3">
      <c r="A256" s="13"/>
      <c r="B256" s="34"/>
      <c r="C256" s="281" t="str">
        <f>_xlfn.CONCAT(_xlfn.XLOOKUP("[S05_DefaultValues][54][InstallationCategory]",Submission!$O:$O,Submission!$H:$N,""))</f>
        <v>Installation with low emissions</v>
      </c>
      <c r="D256" s="350"/>
      <c r="E256" s="350"/>
      <c r="F256" s="350"/>
      <c r="G256" s="347"/>
      <c r="H256" s="123" t="str">
        <f>_xlfn.CONCAT(_xlfn.XLOOKUP("[S05_DefaultValues][54][FuelMaterialType]",Submission!$O:$O,Submission!$H:$N,""))</f>
        <v>Li2CO3</v>
      </c>
      <c r="I256" s="106" t="str">
        <f>_xlfn.CONCAT(_xlfn.XLOOKUP("[S05_DefaultValues][54][InstallationNumber]",Submission!$O:$O,Submission!$H:$N,""))</f>
        <v>2</v>
      </c>
    </row>
    <row r="257" spans="1:9" ht="15.9" hidden="1" customHeight="1" outlineLevel="1" x14ac:dyDescent="0.3">
      <c r="A257" s="13"/>
      <c r="B257" s="34"/>
      <c r="C257" s="281" t="str">
        <f>_xlfn.CONCAT(_xlfn.XLOOKUP("[S05_DefaultValues][55][InstallationCategory]",Submission!$O:$O,Submission!$H:$N,""))</f>
        <v>Installation with low emissions</v>
      </c>
      <c r="D257" s="350"/>
      <c r="E257" s="350"/>
      <c r="F257" s="350"/>
      <c r="G257" s="347"/>
      <c r="H257" s="123" t="str">
        <f>_xlfn.CONCAT(_xlfn.XLOOKUP("[S05_DefaultValues][55][FuelMaterialType]",Submission!$O:$O,Submission!$H:$N,""))</f>
        <v>Lösemittel (Abfall)</v>
      </c>
      <c r="I257" s="106" t="str">
        <f>_xlfn.CONCAT(_xlfn.XLOOKUP("[S05_DefaultValues][55][InstallationNumber]",Submission!$O:$O,Submission!$H:$N,""))</f>
        <v>5</v>
      </c>
    </row>
    <row r="258" spans="1:9" ht="15.9" hidden="1" customHeight="1" outlineLevel="1" x14ac:dyDescent="0.3">
      <c r="A258" s="13"/>
      <c r="B258" s="34"/>
      <c r="C258" s="281" t="str">
        <f>_xlfn.CONCAT(_xlfn.XLOOKUP("[S05_DefaultValues][56][InstallationCategory]",Submission!$O:$O,Submission!$H:$N,""))</f>
        <v>Installation with low emissions</v>
      </c>
      <c r="D258" s="350"/>
      <c r="E258" s="350"/>
      <c r="F258" s="350"/>
      <c r="G258" s="347"/>
      <c r="H258" s="123" t="str">
        <f>_xlfn.CONCAT(_xlfn.XLOOKUP("[S05_DefaultValues][56][FuelMaterialType]",Submission!$O:$O,Submission!$H:$N,""))</f>
        <v>Methan</v>
      </c>
      <c r="I258" s="106" t="str">
        <f>_xlfn.CONCAT(_xlfn.XLOOKUP("[S05_DefaultValues][56][InstallationNumber]",Submission!$O:$O,Submission!$H:$N,""))</f>
        <v>2</v>
      </c>
    </row>
    <row r="259" spans="1:9" ht="15.9" hidden="1" customHeight="1" outlineLevel="1" x14ac:dyDescent="0.3">
      <c r="A259" s="13"/>
      <c r="B259" s="34"/>
      <c r="C259" s="281" t="str">
        <f>_xlfn.CONCAT(_xlfn.XLOOKUP("[S05_DefaultValues][57][InstallationCategory]",Submission!$O:$O,Submission!$H:$N,""))</f>
        <v>Installation with low emissions</v>
      </c>
      <c r="D259" s="350"/>
      <c r="E259" s="350"/>
      <c r="F259" s="350"/>
      <c r="G259" s="347"/>
      <c r="H259" s="123" t="str">
        <f>_xlfn.CONCAT(_xlfn.XLOOKUP("[S05_DefaultValues][57][FuelMaterialType]",Submission!$O:$O,Submission!$H:$N,""))</f>
        <v>Methanol</v>
      </c>
      <c r="I259" s="106" t="str">
        <f>_xlfn.CONCAT(_xlfn.XLOOKUP("[S05_DefaultValues][57][InstallationNumber]",Submission!$O:$O,Submission!$H:$N,""))</f>
        <v>7</v>
      </c>
    </row>
    <row r="260" spans="1:9" ht="15.9" hidden="1" customHeight="1" outlineLevel="1" x14ac:dyDescent="0.3">
      <c r="A260" s="13"/>
      <c r="B260" s="34"/>
      <c r="C260" s="281" t="str">
        <f>_xlfn.CONCAT(_xlfn.XLOOKUP("[S05_DefaultValues][58][InstallationCategory]",Submission!$O:$O,Submission!$H:$N,""))</f>
        <v>Installation with low emissions</v>
      </c>
      <c r="D260" s="350"/>
      <c r="E260" s="350"/>
      <c r="F260" s="350"/>
      <c r="G260" s="347"/>
      <c r="H260" s="123" t="str">
        <f>_xlfn.CONCAT(_xlfn.XLOOKUP("[S05_DefaultValues][58][FuelMaterialType]",Submission!$O:$O,Submission!$H:$N,""))</f>
        <v>MgCO3</v>
      </c>
      <c r="I260" s="106" t="str">
        <f>_xlfn.CONCAT(_xlfn.XLOOKUP("[S05_DefaultValues][58][InstallationNumber]",Submission!$O:$O,Submission!$H:$N,""))</f>
        <v>1</v>
      </c>
    </row>
    <row r="261" spans="1:9" ht="15.9" hidden="1" customHeight="1" outlineLevel="1" x14ac:dyDescent="0.3">
      <c r="A261" s="13"/>
      <c r="B261" s="34"/>
      <c r="C261" s="281" t="str">
        <f>_xlfn.CONCAT(_xlfn.XLOOKUP("[S05_DefaultValues][59][InstallationCategory]",Submission!$O:$O,Submission!$H:$N,""))</f>
        <v>Installation with low emissions</v>
      </c>
      <c r="D261" s="350"/>
      <c r="E261" s="350"/>
      <c r="F261" s="350"/>
      <c r="G261" s="347"/>
      <c r="H261" s="123" t="str">
        <f>_xlfn.CONCAT(_xlfn.XLOOKUP("[S05_DefaultValues][59][FuelMaterialType]",Submission!$O:$O,Submission!$H:$N,""))</f>
        <v>Na2CO3</v>
      </c>
      <c r="I261" s="106" t="str">
        <f>_xlfn.CONCAT(_xlfn.XLOOKUP("[S05_DefaultValues][59][InstallationNumber]",Submission!$O:$O,Submission!$H:$N,""))</f>
        <v>19</v>
      </c>
    </row>
    <row r="262" spans="1:9" ht="15.9" hidden="1" customHeight="1" outlineLevel="1" x14ac:dyDescent="0.3">
      <c r="A262" s="13"/>
      <c r="B262" s="34"/>
      <c r="C262" s="281" t="str">
        <f>_xlfn.CONCAT(_xlfn.XLOOKUP("[S05_DefaultValues][60][InstallationCategory]",Submission!$O:$O,Submission!$H:$N,""))</f>
        <v>Installation with low emissions</v>
      </c>
      <c r="D262" s="350"/>
      <c r="E262" s="350"/>
      <c r="F262" s="350"/>
      <c r="G262" s="347"/>
      <c r="H262" s="123" t="str">
        <f>_xlfn.CONCAT(_xlfn.XLOOKUP("[S05_DefaultValues][60][FuelMaterialType]",Submission!$O:$O,Submission!$H:$N,""))</f>
        <v>NaHCO3</v>
      </c>
      <c r="I262" s="106" t="str">
        <f>_xlfn.CONCAT(_xlfn.XLOOKUP("[S05_DefaultValues][60][InstallationNumber]",Submission!$O:$O,Submission!$H:$N,""))</f>
        <v>1</v>
      </c>
    </row>
    <row r="263" spans="1:9" ht="15.9" hidden="1" customHeight="1" outlineLevel="1" x14ac:dyDescent="0.3">
      <c r="A263" s="13"/>
      <c r="B263" s="34"/>
      <c r="C263" s="281" t="str">
        <f>_xlfn.CONCAT(_xlfn.XLOOKUP("[S05_DefaultValues][61][InstallationCategory]",Submission!$O:$O,Submission!$H:$N,""))</f>
        <v>Installation with low emissions</v>
      </c>
      <c r="D263" s="350"/>
      <c r="E263" s="350"/>
      <c r="F263" s="350"/>
      <c r="G263" s="347"/>
      <c r="H263" s="123" t="str">
        <f>_xlfn.CONCAT(_xlfn.XLOOKUP("[S05_DefaultValues][61][FuelMaterialType]",Submission!$O:$O,Submission!$H:$N,""))</f>
        <v>Nichteisenerz</v>
      </c>
      <c r="I263" s="106" t="str">
        <f>_xlfn.CONCAT(_xlfn.XLOOKUP("[S05_DefaultValues][61][InstallationNumber]",Submission!$O:$O,Submission!$H:$N,""))</f>
        <v>1</v>
      </c>
    </row>
    <row r="264" spans="1:9" ht="15.9" hidden="1" customHeight="1" outlineLevel="1" x14ac:dyDescent="0.3">
      <c r="A264" s="13"/>
      <c r="B264" s="34"/>
      <c r="C264" s="281" t="str">
        <f>_xlfn.CONCAT(_xlfn.XLOOKUP("[S05_DefaultValues][62][InstallationCategory]",Submission!$O:$O,Submission!$H:$N,""))</f>
        <v>Installation with low emissions</v>
      </c>
      <c r="D264" s="350"/>
      <c r="E264" s="350"/>
      <c r="F264" s="350"/>
      <c r="G264" s="347"/>
      <c r="H264" s="123" t="str">
        <f>_xlfn.CONCAT(_xlfn.XLOOKUP("[S05_DefaultValues][62][FuelMaterialType]",Submission!$O:$O,Submission!$H:$N,""))</f>
        <v>Ottokraftstoff</v>
      </c>
      <c r="I264" s="106" t="str">
        <f>_xlfn.CONCAT(_xlfn.XLOOKUP("[S05_DefaultValues][62][InstallationNumber]",Submission!$O:$O,Submission!$H:$N,""))</f>
        <v>2</v>
      </c>
    </row>
    <row r="265" spans="1:9" ht="15.9" hidden="1" customHeight="1" outlineLevel="1" x14ac:dyDescent="0.3">
      <c r="A265" s="13"/>
      <c r="B265" s="34"/>
      <c r="C265" s="281" t="str">
        <f>_xlfn.CONCAT(_xlfn.XLOOKUP("[S05_DefaultValues][63][InstallationCategory]",Submission!$O:$O,Submission!$H:$N,""))</f>
        <v>Installation with low emissions</v>
      </c>
      <c r="D265" s="350"/>
      <c r="E265" s="350"/>
      <c r="F265" s="350"/>
      <c r="G265" s="347"/>
      <c r="H265" s="123" t="str">
        <f>_xlfn.CONCAT(_xlfn.XLOOKUP("[S05_DefaultValues][63][FuelMaterialType]",Submission!$O:$O,Submission!$H:$N,""))</f>
        <v>Petrolkoks</v>
      </c>
      <c r="I265" s="106" t="str">
        <f>_xlfn.CONCAT(_xlfn.XLOOKUP("[S05_DefaultValues][63][InstallationNumber]",Submission!$O:$O,Submission!$H:$N,""))</f>
        <v>1</v>
      </c>
    </row>
    <row r="266" spans="1:9" ht="15.9" hidden="1" customHeight="1" outlineLevel="1" x14ac:dyDescent="0.3">
      <c r="A266" s="13"/>
      <c r="B266" s="34"/>
      <c r="C266" s="281" t="str">
        <f>_xlfn.CONCAT(_xlfn.XLOOKUP("[S05_DefaultValues][64][InstallationCategory]",Submission!$O:$O,Submission!$H:$N,""))</f>
        <v>Installation with low emissions</v>
      </c>
      <c r="D266" s="350"/>
      <c r="E266" s="350"/>
      <c r="F266" s="350"/>
      <c r="G266" s="347"/>
      <c r="H266" s="123" t="str">
        <f>_xlfn.CONCAT(_xlfn.XLOOKUP("[S05_DefaultValues][64][FuelMaterialType]",Submission!$O:$O,Submission!$H:$N,""))</f>
        <v>Polystyrol (geschäumt)</v>
      </c>
      <c r="I266" s="106" t="str">
        <f>_xlfn.CONCAT(_xlfn.XLOOKUP("[S05_DefaultValues][64][InstallationNumber]",Submission!$O:$O,Submission!$H:$N,""))</f>
        <v>17</v>
      </c>
    </row>
    <row r="267" spans="1:9" ht="15.9" hidden="1" customHeight="1" outlineLevel="1" x14ac:dyDescent="0.3">
      <c r="A267" s="13"/>
      <c r="B267" s="34"/>
      <c r="C267" s="281" t="str">
        <f>_xlfn.CONCAT(_xlfn.XLOOKUP("[S05_DefaultValues][65][InstallationCategory]",Submission!$O:$O,Submission!$H:$N,""))</f>
        <v>Installation with low emissions</v>
      </c>
      <c r="D267" s="350"/>
      <c r="E267" s="350"/>
      <c r="F267" s="350"/>
      <c r="G267" s="347"/>
      <c r="H267" s="123" t="str">
        <f>_xlfn.CONCAT(_xlfn.XLOOKUP("[S05_DefaultValues][65][FuelMaterialType]",Submission!$O:$O,Submission!$H:$N,""))</f>
        <v>Produktion sonstiger Kalk</v>
      </c>
      <c r="I267" s="106" t="str">
        <f>_xlfn.CONCAT(_xlfn.XLOOKUP("[S05_DefaultValues][65][InstallationNumber]",Submission!$O:$O,Submission!$H:$N,""))</f>
        <v>5</v>
      </c>
    </row>
    <row r="268" spans="1:9" ht="15.9" hidden="1" customHeight="1" outlineLevel="1" x14ac:dyDescent="0.3">
      <c r="A268" s="13"/>
      <c r="B268" s="34"/>
      <c r="C268" s="281" t="str">
        <f>_xlfn.CONCAT(_xlfn.XLOOKUP("[S05_DefaultValues][66][InstallationCategory]",Submission!$O:$O,Submission!$H:$N,""))</f>
        <v>Installation with low emissions</v>
      </c>
      <c r="D268" s="350"/>
      <c r="E268" s="350"/>
      <c r="F268" s="350"/>
      <c r="G268" s="347"/>
      <c r="H268" s="123" t="str">
        <f>_xlfn.CONCAT(_xlfn.XLOOKUP("[S05_DefaultValues][66][FuelMaterialType]",Submission!$O:$O,Submission!$H:$N,""))</f>
        <v>Propan</v>
      </c>
      <c r="I268" s="106" t="str">
        <f>_xlfn.CONCAT(_xlfn.XLOOKUP("[S05_DefaultValues][66][InstallationNumber]",Submission!$O:$O,Submission!$H:$N,""))</f>
        <v>10</v>
      </c>
    </row>
    <row r="269" spans="1:9" ht="15.9" hidden="1" customHeight="1" outlineLevel="1" x14ac:dyDescent="0.3">
      <c r="A269" s="13"/>
      <c r="B269" s="34"/>
      <c r="C269" s="281" t="str">
        <f>_xlfn.CONCAT(_xlfn.XLOOKUP("[S05_DefaultValues][67][InstallationCategory]",Submission!$O:$O,Submission!$H:$N,""))</f>
        <v>Installation with low emissions</v>
      </c>
      <c r="D269" s="350"/>
      <c r="E269" s="350"/>
      <c r="F269" s="350"/>
      <c r="G269" s="347"/>
      <c r="H269" s="123" t="str">
        <f>_xlfn.CONCAT(_xlfn.XLOOKUP("[S05_DefaultValues][67][FuelMaterialType]",Submission!$O:$O,Submission!$H:$N,""))</f>
        <v>Propylen</v>
      </c>
      <c r="I269" s="106" t="str">
        <f>_xlfn.CONCAT(_xlfn.XLOOKUP("[S05_DefaultValues][67][InstallationNumber]",Submission!$O:$O,Submission!$H:$N,""))</f>
        <v>2</v>
      </c>
    </row>
    <row r="270" spans="1:9" ht="15.9" hidden="1" customHeight="1" outlineLevel="1" x14ac:dyDescent="0.3">
      <c r="A270" s="13"/>
      <c r="B270" s="34"/>
      <c r="C270" s="281" t="str">
        <f>_xlfn.CONCAT(_xlfn.XLOOKUP("[S05_DefaultValues][68][InstallationCategory]",Submission!$O:$O,Submission!$H:$N,""))</f>
        <v>Installation with low emissions</v>
      </c>
      <c r="D270" s="350"/>
      <c r="E270" s="350"/>
      <c r="F270" s="350"/>
      <c r="G270" s="347"/>
      <c r="H270" s="123" t="str">
        <f>_xlfn.CONCAT(_xlfn.XLOOKUP("[S05_DefaultValues][68][FuelMaterialType]",Submission!$O:$O,Submission!$H:$N,""))</f>
        <v>Raffineriegas in [t] (Ersatzwert)</v>
      </c>
      <c r="I270" s="106" t="str">
        <f>_xlfn.CONCAT(_xlfn.XLOOKUP("[S05_DefaultValues][68][InstallationNumber]",Submission!$O:$O,Submission!$H:$N,""))</f>
        <v>1</v>
      </c>
    </row>
    <row r="271" spans="1:9" ht="15.9" hidden="1" customHeight="1" outlineLevel="1" x14ac:dyDescent="0.3">
      <c r="A271" s="13"/>
      <c r="B271" s="34"/>
      <c r="C271" s="281" t="str">
        <f>_xlfn.CONCAT(_xlfn.XLOOKUP("[S05_DefaultValues][69][InstallationCategory]",Submission!$O:$O,Submission!$H:$N,""))</f>
        <v>Installation with low emissions</v>
      </c>
      <c r="D271" s="350"/>
      <c r="E271" s="350"/>
      <c r="F271" s="350"/>
      <c r="G271" s="347"/>
      <c r="H271" s="123" t="str">
        <f>_xlfn.CONCAT(_xlfn.XLOOKUP("[S05_DefaultValues][69][FuelMaterialType]",Submission!$O:$O,Submission!$H:$N,""))</f>
        <v>Rohbraunkohle Rheinland</v>
      </c>
      <c r="I271" s="106" t="str">
        <f>_xlfn.CONCAT(_xlfn.XLOOKUP("[S05_DefaultValues][69][InstallationNumber]",Submission!$O:$O,Submission!$H:$N,""))</f>
        <v>1</v>
      </c>
    </row>
    <row r="272" spans="1:9" ht="15.9" hidden="1" customHeight="1" outlineLevel="1" x14ac:dyDescent="0.3">
      <c r="A272" s="13"/>
      <c r="B272" s="34"/>
      <c r="C272" s="281" t="str">
        <f>_xlfn.CONCAT(_xlfn.XLOOKUP("[S05_DefaultValues][70][InstallationCategory]",Submission!$O:$O,Submission!$H:$N,""))</f>
        <v>Installation with low emissions</v>
      </c>
      <c r="D272" s="350"/>
      <c r="E272" s="350"/>
      <c r="F272" s="350"/>
      <c r="G272" s="347"/>
      <c r="H272" s="123" t="str">
        <f>_xlfn.CONCAT(_xlfn.XLOOKUP("[S05_DefaultValues][70][FuelMaterialType]",Submission!$O:$O,Submission!$H:$N,""))</f>
        <v>Rohmaterialmischung</v>
      </c>
      <c r="I272" s="106" t="str">
        <f>_xlfn.CONCAT(_xlfn.XLOOKUP("[S05_DefaultValues][70][InstallationNumber]",Submission!$O:$O,Submission!$H:$N,""))</f>
        <v>1</v>
      </c>
    </row>
    <row r="273" spans="1:9" ht="15.9" hidden="1" customHeight="1" outlineLevel="1" x14ac:dyDescent="0.3">
      <c r="A273" s="13"/>
      <c r="B273" s="34"/>
      <c r="C273" s="281" t="str">
        <f>_xlfn.CONCAT(_xlfn.XLOOKUP("[S05_DefaultValues][71][InstallationCategory]",Submission!$O:$O,Submission!$H:$N,""))</f>
        <v>Installation with low emissions</v>
      </c>
      <c r="D273" s="350"/>
      <c r="E273" s="350"/>
      <c r="F273" s="350"/>
      <c r="G273" s="347"/>
      <c r="H273" s="123" t="str">
        <f>_xlfn.CONCAT(_xlfn.XLOOKUP("[S05_DefaultValues][71][FuelMaterialType]",Submission!$O:$O,Submission!$H:$N,""))</f>
        <v>Schmierstoff</v>
      </c>
      <c r="I273" s="106" t="str">
        <f>_xlfn.CONCAT(_xlfn.XLOOKUP("[S05_DefaultValues][71][InstallationNumber]",Submission!$O:$O,Submission!$H:$N,""))</f>
        <v>11</v>
      </c>
    </row>
    <row r="274" spans="1:9" ht="15.9" hidden="1" customHeight="1" outlineLevel="1" x14ac:dyDescent="0.3">
      <c r="A274" s="13"/>
      <c r="B274" s="34"/>
      <c r="C274" s="281" t="str">
        <f>_xlfn.CONCAT(_xlfn.XLOOKUP("[S05_DefaultValues][72][InstallationCategory]",Submission!$O:$O,Submission!$H:$N,""))</f>
        <v>Installation with low emissions</v>
      </c>
      <c r="D274" s="350"/>
      <c r="E274" s="350"/>
      <c r="F274" s="350"/>
      <c r="G274" s="347"/>
      <c r="H274" s="123" t="str">
        <f>_xlfn.CONCAT(_xlfn.XLOOKUP("[S05_DefaultValues][72][FuelMaterialType]",Submission!$O:$O,Submission!$H:$N,""))</f>
        <v>sonstige Kohlen</v>
      </c>
      <c r="I274" s="106" t="str">
        <f>_xlfn.CONCAT(_xlfn.XLOOKUP("[S05_DefaultValues][72][InstallationNumber]",Submission!$O:$O,Submission!$H:$N,""))</f>
        <v>2</v>
      </c>
    </row>
    <row r="275" spans="1:9" ht="15.9" hidden="1" customHeight="1" outlineLevel="1" x14ac:dyDescent="0.3">
      <c r="A275" s="13"/>
      <c r="B275" s="34"/>
      <c r="C275" s="281" t="str">
        <f>_xlfn.CONCAT(_xlfn.XLOOKUP("[S05_DefaultValues][73][InstallationCategory]",Submission!$O:$O,Submission!$H:$N,""))</f>
        <v>Installation with low emissions</v>
      </c>
      <c r="D275" s="350"/>
      <c r="E275" s="350"/>
      <c r="F275" s="350"/>
      <c r="G275" s="347"/>
      <c r="H275" s="123" t="str">
        <f>_xlfn.CONCAT(_xlfn.XLOOKUP("[S05_DefaultValues][73][FuelMaterialType]",Submission!$O:$O,Submission!$H:$N,""))</f>
        <v>SrCO3</v>
      </c>
      <c r="I275" s="106" t="str">
        <f>_xlfn.CONCAT(_xlfn.XLOOKUP("[S05_DefaultValues][73][InstallationNumber]",Submission!$O:$O,Submission!$H:$N,""))</f>
        <v>4</v>
      </c>
    </row>
    <row r="276" spans="1:9" ht="15.9" hidden="1" customHeight="1" outlineLevel="1" x14ac:dyDescent="0.3">
      <c r="A276" s="13"/>
      <c r="B276" s="34"/>
      <c r="C276" s="281" t="str">
        <f>_xlfn.CONCAT(_xlfn.XLOOKUP("[S05_DefaultValues][74][InstallationCategory]",Submission!$O:$O,Submission!$H:$N,""))</f>
        <v>Installation with low emissions</v>
      </c>
      <c r="D276" s="350"/>
      <c r="E276" s="350"/>
      <c r="F276" s="350"/>
      <c r="G276" s="347"/>
      <c r="H276" s="123" t="str">
        <f>_xlfn.CONCAT(_xlfn.XLOOKUP("[S05_DefaultValues][74][FuelMaterialType]",Submission!$O:$O,Submission!$H:$N,""))</f>
        <v>Stahl/Stahlschrott</v>
      </c>
      <c r="I276" s="106" t="str">
        <f>_xlfn.CONCAT(_xlfn.XLOOKUP("[S05_DefaultValues][74][InstallationNumber]",Submission!$O:$O,Submission!$H:$N,""))</f>
        <v>5</v>
      </c>
    </row>
    <row r="277" spans="1:9" ht="15.9" hidden="1" customHeight="1" outlineLevel="1" x14ac:dyDescent="0.3">
      <c r="A277" s="13"/>
      <c r="B277" s="34"/>
      <c r="C277" s="281" t="str">
        <f>_xlfn.CONCAT(_xlfn.XLOOKUP("[S05_DefaultValues][75][InstallationCategory]",Submission!$O:$O,Submission!$H:$N,""))</f>
        <v>Installation with low emissions</v>
      </c>
      <c r="D277" s="350"/>
      <c r="E277" s="350"/>
      <c r="F277" s="350"/>
      <c r="G277" s="347"/>
      <c r="H277" s="123" t="str">
        <f>_xlfn.CONCAT(_xlfn.XLOOKUP("[S05_DefaultValues][75][FuelMaterialType]",Submission!$O:$O,Submission!$H:$N,""))</f>
        <v>Steinkohlenkoks</v>
      </c>
      <c r="I277" s="106" t="str">
        <f>_xlfn.CONCAT(_xlfn.XLOOKUP("[S05_DefaultValues][75][InstallationNumber]",Submission!$O:$O,Submission!$H:$N,""))</f>
        <v>5</v>
      </c>
    </row>
    <row r="278" spans="1:9" ht="15.9" hidden="1" customHeight="1" outlineLevel="1" x14ac:dyDescent="0.3">
      <c r="A278" s="13"/>
      <c r="B278" s="34"/>
      <c r="C278" s="281" t="str">
        <f>_xlfn.CONCAT(_xlfn.XLOOKUP("[S05_DefaultValues][76][InstallationCategory]",Submission!$O:$O,Submission!$H:$N,""))</f>
        <v>Installation with low emissions</v>
      </c>
      <c r="D278" s="350"/>
      <c r="E278" s="350"/>
      <c r="F278" s="350"/>
      <c r="G278" s="347"/>
      <c r="H278" s="123" t="str">
        <f>_xlfn.CONCAT(_xlfn.XLOOKUP("[S05_DefaultValues][76][FuelMaterialType]",Submission!$O:$O,Submission!$H:$N,""))</f>
        <v>Ton/Erden</v>
      </c>
      <c r="I278" s="106" t="str">
        <f>_xlfn.CONCAT(_xlfn.XLOOKUP("[S05_DefaultValues][76][InstallationNumber]",Submission!$O:$O,Submission!$H:$N,""))</f>
        <v>1</v>
      </c>
    </row>
    <row r="279" spans="1:9" ht="15.9" hidden="1" customHeight="1" outlineLevel="1" x14ac:dyDescent="0.3">
      <c r="A279" s="13"/>
      <c r="B279" s="34"/>
      <c r="C279" s="281" t="str">
        <f>_xlfn.CONCAT(_xlfn.XLOOKUP("[S05_DefaultValues][77][InstallationCategory]",Submission!$O:$O,Submission!$H:$N,""))</f>
        <v>Installation with low emissions</v>
      </c>
      <c r="D279" s="350"/>
      <c r="E279" s="350"/>
      <c r="F279" s="350"/>
      <c r="G279" s="347"/>
      <c r="H279" s="123" t="str">
        <f>_xlfn.CONCAT(_xlfn.XLOOKUP("[S05_DefaultValues][77][FuelMaterialType]",Submission!$O:$O,Submission!$H:$N,""))</f>
        <v>Torf</v>
      </c>
      <c r="I279" s="106" t="str">
        <f>_xlfn.CONCAT(_xlfn.XLOOKUP("[S05_DefaultValues][77][InstallationNumber]",Submission!$O:$O,Submission!$H:$N,""))</f>
        <v>2</v>
      </c>
    </row>
    <row r="280" spans="1:9" ht="15.9" hidden="1" customHeight="1" outlineLevel="1" x14ac:dyDescent="0.3">
      <c r="A280" s="13"/>
      <c r="B280" s="34"/>
      <c r="C280" s="281" t="str">
        <f>_xlfn.CONCAT(_xlfn.XLOOKUP("[S05_DefaultValues][78][InstallationCategory]",Submission!$O:$O,Submission!$H:$N,""))</f>
        <v>Installation with low emissions</v>
      </c>
      <c r="D280" s="350"/>
      <c r="E280" s="350"/>
      <c r="F280" s="350"/>
      <c r="G280" s="347"/>
      <c r="H280" s="123" t="str">
        <f>_xlfn.CONCAT(_xlfn.XLOOKUP("[S05_DefaultValues][78][FuelMaterialType]",Submission!$O:$O,Submission!$H:$N,""))</f>
        <v>Vollwertkohle Deutschland</v>
      </c>
      <c r="I280" s="106" t="str">
        <f>_xlfn.CONCAT(_xlfn.XLOOKUP("[S05_DefaultValues][78][InstallationNumber]",Submission!$O:$O,Submission!$H:$N,""))</f>
        <v>1</v>
      </c>
    </row>
    <row r="281" spans="1:9" ht="15.9" hidden="1" customHeight="1" outlineLevel="1" x14ac:dyDescent="0.3">
      <c r="A281" s="13"/>
      <c r="B281" s="34"/>
      <c r="C281" s="281" t="str">
        <f>_xlfn.CONCAT(_xlfn.XLOOKUP("[S05_DefaultValues][79][InstallationCategory]",Submission!$O:$O,Submission!$H:$N,""))</f>
        <v>Installation with low emissions</v>
      </c>
      <c r="D281" s="350"/>
      <c r="E281" s="350"/>
      <c r="F281" s="350"/>
      <c r="G281" s="347"/>
      <c r="H281" s="123" t="str">
        <f>_xlfn.CONCAT(_xlfn.XLOOKUP("[S05_DefaultValues][79][FuelMaterialType]",Submission!$O:$O,Submission!$H:$N,""))</f>
        <v>Vollwertkohle Import Kolumbien</v>
      </c>
      <c r="I281" s="106" t="str">
        <f>_xlfn.CONCAT(_xlfn.XLOOKUP("[S05_DefaultValues][79][InstallationNumber]",Submission!$O:$O,Submission!$H:$N,""))</f>
        <v>3</v>
      </c>
    </row>
    <row r="282" spans="1:9" ht="15.9" hidden="1" customHeight="1" outlineLevel="1" x14ac:dyDescent="0.3">
      <c r="A282" s="13"/>
      <c r="B282" s="34"/>
      <c r="C282" s="281" t="str">
        <f>_xlfn.CONCAT(_xlfn.XLOOKUP("[S05_DefaultValues][80][InstallationCategory]",Submission!$O:$O,Submission!$H:$N,""))</f>
        <v>Installation with low emissions</v>
      </c>
      <c r="D282" s="350"/>
      <c r="E282" s="350"/>
      <c r="F282" s="350"/>
      <c r="G282" s="347"/>
      <c r="H282" s="123" t="str">
        <f>_xlfn.CONCAT(_xlfn.XLOOKUP("[S05_DefaultValues][80][FuelMaterialType]",Submission!$O:$O,Submission!$H:$N,""))</f>
        <v>Vollwertkohle Import Polen</v>
      </c>
      <c r="I282" s="106" t="str">
        <f>_xlfn.CONCAT(_xlfn.XLOOKUP("[S05_DefaultValues][80][InstallationNumber]",Submission!$O:$O,Submission!$H:$N,""))</f>
        <v>3</v>
      </c>
    </row>
    <row r="283" spans="1:9" ht="15.9" hidden="1" customHeight="1" outlineLevel="1" x14ac:dyDescent="0.3">
      <c r="A283" s="13"/>
      <c r="B283" s="34"/>
      <c r="C283" s="281" t="str">
        <f>_xlfn.CONCAT(_xlfn.XLOOKUP("[S05_DefaultValues][81][InstallationCategory]",Submission!$O:$O,Submission!$H:$N,""))</f>
        <v>Installation with low emissions</v>
      </c>
      <c r="D283" s="350"/>
      <c r="E283" s="350"/>
      <c r="F283" s="350"/>
      <c r="G283" s="347"/>
      <c r="H283" s="123" t="str">
        <f>_xlfn.CONCAT(_xlfn.XLOOKUP("[S05_DefaultValues][81][FuelMaterialType]",Submission!$O:$O,Submission!$H:$N,""))</f>
        <v>Wasserstoff</v>
      </c>
      <c r="I283" s="106" t="str">
        <f>_xlfn.CONCAT(_xlfn.XLOOKUP("[S05_DefaultValues][81][InstallationNumber]",Submission!$O:$O,Submission!$H:$N,""))</f>
        <v>1</v>
      </c>
    </row>
    <row r="284" spans="1:9" ht="15.9" hidden="1" customHeight="1" outlineLevel="1" x14ac:dyDescent="0.3">
      <c r="A284" s="13"/>
      <c r="B284" s="34"/>
      <c r="C284" s="281" t="str">
        <f>_xlfn.CONCAT(_xlfn.XLOOKUP("[S05_DefaultValues][82][InstallationCategory]",Submission!$O:$O,Submission!$H:$N,""))</f>
        <v>Installation with low emissions</v>
      </c>
      <c r="D284" s="350"/>
      <c r="E284" s="350"/>
      <c r="F284" s="350"/>
      <c r="G284" s="347"/>
      <c r="H284" s="123" t="str">
        <f>_xlfn.CONCAT(_xlfn.XLOOKUP("[S05_DefaultValues][82][FuelMaterialType]",Submission!$O:$O,Submission!$H:$N,""))</f>
        <v>Wasserstoff (in [t])</v>
      </c>
      <c r="I284" s="106" t="str">
        <f>_xlfn.CONCAT(_xlfn.XLOOKUP("[S05_DefaultValues][82][InstallationNumber]",Submission!$O:$O,Submission!$H:$N,""))</f>
        <v>1</v>
      </c>
    </row>
    <row r="285" spans="1:9" ht="15.9" hidden="1" customHeight="1" outlineLevel="1" x14ac:dyDescent="0.3">
      <c r="A285" s="13"/>
      <c r="B285" s="34"/>
      <c r="C285" s="281" t="str">
        <f>_xlfn.CONCAT(_xlfn.XLOOKUP("[S05_DefaultValues][83][InstallationCategory]",Submission!$O:$O,Submission!$H:$N,""))</f>
        <v>Installation with low emissions</v>
      </c>
      <c r="D285" s="350"/>
      <c r="E285" s="350"/>
      <c r="F285" s="350"/>
      <c r="G285" s="347"/>
      <c r="H285" s="123" t="str">
        <f>_xlfn.CONCAT(_xlfn.XLOOKUP("[S05_DefaultValues][83][FuelMaterialType]",Submission!$O:$O,Submission!$H:$N,""))</f>
        <v>zugekauftes Roheisen</v>
      </c>
      <c r="I285" s="106" t="str">
        <f>_xlfn.CONCAT(_xlfn.XLOOKUP("[S05_DefaultValues][83][InstallationNumber]",Submission!$O:$O,Submission!$H:$N,""))</f>
        <v>1</v>
      </c>
    </row>
    <row r="286" spans="1:9" ht="15.9" hidden="1" customHeight="1" outlineLevel="1" x14ac:dyDescent="0.3">
      <c r="A286" s="13"/>
      <c r="B286" s="34"/>
      <c r="C286" s="281" t="str">
        <f>_xlfn.CONCAT(_xlfn.XLOOKUP("[S05_DefaultValues][84][InstallationCategory]",Submission!$O:$O,Submission!$H:$N,""))</f>
        <v>Category A installation</v>
      </c>
      <c r="D286" s="350"/>
      <c r="E286" s="350"/>
      <c r="F286" s="350"/>
      <c r="G286" s="347"/>
      <c r="H286" s="123" t="str">
        <f>_xlfn.CONCAT(_xlfn.XLOOKUP("[S05_DefaultValues][84][FuelMaterialType]",Submission!$O:$O,Submission!$H:$N,""))</f>
        <v>Acetaldehyd</v>
      </c>
      <c r="I286" s="106" t="str">
        <f>_xlfn.CONCAT(_xlfn.XLOOKUP("[S05_DefaultValues][84][InstallationNumber]",Submission!$O:$O,Submission!$H:$N,""))</f>
        <v>1</v>
      </c>
    </row>
    <row r="287" spans="1:9" ht="15.9" hidden="1" customHeight="1" outlineLevel="1" x14ac:dyDescent="0.3">
      <c r="A287" s="13"/>
      <c r="B287" s="34"/>
      <c r="C287" s="281" t="str">
        <f>_xlfn.CONCAT(_xlfn.XLOOKUP("[S05_DefaultValues][85][InstallationCategory]",Submission!$O:$O,Submission!$H:$N,""))</f>
        <v>Category A installation</v>
      </c>
      <c r="D287" s="350"/>
      <c r="E287" s="350"/>
      <c r="F287" s="350"/>
      <c r="G287" s="347"/>
      <c r="H287" s="123" t="str">
        <f>_xlfn.CONCAT(_xlfn.XLOOKUP("[S05_DefaultValues][85][FuelMaterialType]",Submission!$O:$O,Submission!$H:$N,""))</f>
        <v>Adipinsäure</v>
      </c>
      <c r="I287" s="106" t="str">
        <f>_xlfn.CONCAT(_xlfn.XLOOKUP("[S05_DefaultValues][85][InstallationNumber]",Submission!$O:$O,Submission!$H:$N,""))</f>
        <v>1</v>
      </c>
    </row>
    <row r="288" spans="1:9" ht="15.9" hidden="1" customHeight="1" outlineLevel="1" x14ac:dyDescent="0.3">
      <c r="A288" s="13"/>
      <c r="B288" s="34"/>
      <c r="C288" s="281" t="str">
        <f>_xlfn.CONCAT(_xlfn.XLOOKUP("[S05_DefaultValues][86][InstallationCategory]",Submission!$O:$O,Submission!$H:$N,""))</f>
        <v>Category A installation</v>
      </c>
      <c r="D288" s="350"/>
      <c r="E288" s="350"/>
      <c r="F288" s="350"/>
      <c r="G288" s="347"/>
      <c r="H288" s="123" t="str">
        <f>_xlfn.CONCAT(_xlfn.XLOOKUP("[S05_DefaultValues][86][FuelMaterialType]",Submission!$O:$O,Submission!$H:$N,""))</f>
        <v>Alkohole</v>
      </c>
      <c r="I288" s="106" t="str">
        <f>_xlfn.CONCAT(_xlfn.XLOOKUP("[S05_DefaultValues][86][InstallationNumber]",Submission!$O:$O,Submission!$H:$N,""))</f>
        <v>1</v>
      </c>
    </row>
    <row r="289" spans="1:9" ht="15.9" hidden="1" customHeight="1" outlineLevel="1" x14ac:dyDescent="0.3">
      <c r="A289" s="13"/>
      <c r="B289" s="34"/>
      <c r="C289" s="281" t="str">
        <f>_xlfn.CONCAT(_xlfn.XLOOKUP("[S05_DefaultValues][87][InstallationCategory]",Submission!$O:$O,Submission!$H:$N,""))</f>
        <v>Category A installation</v>
      </c>
      <c r="D289" s="350"/>
      <c r="E289" s="350"/>
      <c r="F289" s="350"/>
      <c r="G289" s="347"/>
      <c r="H289" s="123" t="str">
        <f>_xlfn.CONCAT(_xlfn.XLOOKUP("[S05_DefaultValues][87][FuelMaterialType]",Submission!$O:$O,Submission!$H:$N,""))</f>
        <v>Andere Mineralölprodukte in [t]</v>
      </c>
      <c r="I289" s="106" t="str">
        <f>_xlfn.CONCAT(_xlfn.XLOOKUP("[S05_DefaultValues][87][InstallationNumber]",Submission!$O:$O,Submission!$H:$N,""))</f>
        <v>1</v>
      </c>
    </row>
    <row r="290" spans="1:9" ht="15.9" hidden="1" customHeight="1" outlineLevel="1" x14ac:dyDescent="0.3">
      <c r="A290" s="13"/>
      <c r="B290" s="34"/>
      <c r="C290" s="281" t="str">
        <f>_xlfn.CONCAT(_xlfn.XLOOKUP("[S05_DefaultValues][88][InstallationCategory]",Submission!$O:$O,Submission!$H:$N,""))</f>
        <v>Category A installation</v>
      </c>
      <c r="D290" s="350"/>
      <c r="E290" s="350"/>
      <c r="F290" s="350"/>
      <c r="G290" s="347"/>
      <c r="H290" s="123" t="str">
        <f>_xlfn.CONCAT(_xlfn.XLOOKUP("[S05_DefaultValues][88][FuelMaterialType]",Submission!$O:$O,Submission!$H:$N,""))</f>
        <v>Anthrazit (Wärmeerzeugung)</v>
      </c>
      <c r="I290" s="106" t="str">
        <f>_xlfn.CONCAT(_xlfn.XLOOKUP("[S05_DefaultValues][88][InstallationNumber]",Submission!$O:$O,Submission!$H:$N,""))</f>
        <v>5</v>
      </c>
    </row>
    <row r="291" spans="1:9" ht="15.9" hidden="1" customHeight="1" outlineLevel="1" x14ac:dyDescent="0.3">
      <c r="A291" s="13"/>
      <c r="B291" s="34"/>
      <c r="C291" s="281" t="str">
        <f>_xlfn.CONCAT(_xlfn.XLOOKUP("[S05_DefaultValues][89][InstallationCategory]",Submission!$O:$O,Submission!$H:$N,""))</f>
        <v>Category A installation</v>
      </c>
      <c r="D291" s="350"/>
      <c r="E291" s="350"/>
      <c r="F291" s="350"/>
      <c r="G291" s="347"/>
      <c r="H291" s="123" t="str">
        <f>_xlfn.CONCAT(_xlfn.XLOOKUP("[S05_DefaultValues][89][FuelMaterialType]",Submission!$O:$O,Submission!$H:$N,""))</f>
        <v>BaCO3</v>
      </c>
      <c r="I291" s="106" t="str">
        <f>_xlfn.CONCAT(_xlfn.XLOOKUP("[S05_DefaultValues][89][InstallationNumber]",Submission!$O:$O,Submission!$H:$N,""))</f>
        <v>3</v>
      </c>
    </row>
    <row r="292" spans="1:9" ht="15.9" hidden="1" customHeight="1" outlineLevel="1" x14ac:dyDescent="0.3">
      <c r="A292" s="13"/>
      <c r="B292" s="34"/>
      <c r="C292" s="281" t="str">
        <f>_xlfn.CONCAT(_xlfn.XLOOKUP("[S05_DefaultValues][90][InstallationCategory]",Submission!$O:$O,Submission!$H:$N,""))</f>
        <v>Category A installation</v>
      </c>
      <c r="D292" s="350"/>
      <c r="E292" s="350"/>
      <c r="F292" s="350"/>
      <c r="G292" s="347"/>
      <c r="H292" s="123" t="str">
        <f>_xlfn.CONCAT(_xlfn.XLOOKUP("[S05_DefaultValues][90][FuelMaterialType]",Submission!$O:$O,Submission!$H:$N,""))</f>
        <v>Biomasse-Brennstoff, Brennholz</v>
      </c>
      <c r="I292" s="106" t="str">
        <f>_xlfn.CONCAT(_xlfn.XLOOKUP("[S05_DefaultValues][90][InstallationNumber]",Submission!$O:$O,Submission!$H:$N,""))</f>
        <v>5</v>
      </c>
    </row>
    <row r="293" spans="1:9" ht="15.9" hidden="1" customHeight="1" outlineLevel="1" x14ac:dyDescent="0.3">
      <c r="A293" s="13"/>
      <c r="B293" s="34"/>
      <c r="C293" s="281" t="str">
        <f>_xlfn.CONCAT(_xlfn.XLOOKUP("[S05_DefaultValues][91][InstallationCategory]",Submission!$O:$O,Submission!$H:$N,""))</f>
        <v>Category A installation</v>
      </c>
      <c r="D293" s="350"/>
      <c r="E293" s="350"/>
      <c r="F293" s="350"/>
      <c r="G293" s="347"/>
      <c r="H293" s="123" t="str">
        <f>_xlfn.CONCAT(_xlfn.XLOOKUP("[S05_DefaultValues][91][FuelMaterialType]",Submission!$O:$O,Submission!$H:$N,""))</f>
        <v>Biomasse-Brennstoff, Klärgas</v>
      </c>
      <c r="I293" s="106" t="str">
        <f>_xlfn.CONCAT(_xlfn.XLOOKUP("[S05_DefaultValues][91][InstallationNumber]",Submission!$O:$O,Submission!$H:$N,""))</f>
        <v>1</v>
      </c>
    </row>
    <row r="294" spans="1:9" ht="15.9" hidden="1" customHeight="1" outlineLevel="1" x14ac:dyDescent="0.3">
      <c r="A294" s="13"/>
      <c r="B294" s="34"/>
      <c r="C294" s="281" t="str">
        <f>_xlfn.CONCAT(_xlfn.XLOOKUP("[S05_DefaultValues][92][InstallationCategory]",Submission!$O:$O,Submission!$H:$N,""))</f>
        <v>Category A installation</v>
      </c>
      <c r="D294" s="350"/>
      <c r="E294" s="350"/>
      <c r="F294" s="350"/>
      <c r="G294" s="347"/>
      <c r="H294" s="123" t="str">
        <f>_xlfn.CONCAT(_xlfn.XLOOKUP("[S05_DefaultValues][92][FuelMaterialType]",Submission!$O:$O,Submission!$H:$N,""))</f>
        <v>Biomasse-Brennstoff, Rinde</v>
      </c>
      <c r="I294" s="106" t="str">
        <f>_xlfn.CONCAT(_xlfn.XLOOKUP("[S05_DefaultValues][92][InstallationNumber]",Submission!$O:$O,Submission!$H:$N,""))</f>
        <v>1</v>
      </c>
    </row>
    <row r="295" spans="1:9" ht="15.9" hidden="1" customHeight="1" outlineLevel="1" x14ac:dyDescent="0.3">
      <c r="A295" s="13"/>
      <c r="B295" s="34"/>
      <c r="C295" s="281" t="str">
        <f>_xlfn.CONCAT(_xlfn.XLOOKUP("[S05_DefaultValues][93][InstallationCategory]",Submission!$O:$O,Submission!$H:$N,""))</f>
        <v>Category A installation</v>
      </c>
      <c r="D295" s="350"/>
      <c r="E295" s="350"/>
      <c r="F295" s="350"/>
      <c r="G295" s="347"/>
      <c r="H295" s="123" t="str">
        <f>_xlfn.CONCAT(_xlfn.XLOOKUP("[S05_DefaultValues][93][FuelMaterialType]",Submission!$O:$O,Submission!$H:$N,""))</f>
        <v>Biomasse-Brennstoff, Sonstige feste</v>
      </c>
      <c r="I295" s="106" t="str">
        <f>_xlfn.CONCAT(_xlfn.XLOOKUP("[S05_DefaultValues][93][InstallationNumber]",Submission!$O:$O,Submission!$H:$N,""))</f>
        <v>1</v>
      </c>
    </row>
    <row r="296" spans="1:9" ht="15.9" hidden="1" customHeight="1" outlineLevel="1" x14ac:dyDescent="0.3">
      <c r="A296" s="13"/>
      <c r="B296" s="34"/>
      <c r="C296" s="281" t="str">
        <f>_xlfn.CONCAT(_xlfn.XLOOKUP("[S05_DefaultValues][94][InstallationCategory]",Submission!$O:$O,Submission!$H:$N,""))</f>
        <v>Category A installation</v>
      </c>
      <c r="D296" s="350"/>
      <c r="E296" s="350"/>
      <c r="F296" s="350"/>
      <c r="G296" s="347"/>
      <c r="H296" s="123" t="str">
        <f>_xlfn.CONCAT(_xlfn.XLOOKUP("[S05_DefaultValues][94][FuelMaterialType]",Submission!$O:$O,Submission!$H:$N,""))</f>
        <v>Biomasse-Brennstoff, Sonstige in [1000 Nm³]</v>
      </c>
      <c r="I296" s="106" t="str">
        <f>_xlfn.CONCAT(_xlfn.XLOOKUP("[S05_DefaultValues][94][InstallationNumber]",Submission!$O:$O,Submission!$H:$N,""))</f>
        <v>5</v>
      </c>
    </row>
    <row r="297" spans="1:9" ht="15.9" hidden="1" customHeight="1" outlineLevel="1" x14ac:dyDescent="0.3">
      <c r="A297" s="13"/>
      <c r="B297" s="34"/>
      <c r="C297" s="281" t="str">
        <f>_xlfn.CONCAT(_xlfn.XLOOKUP("[S05_DefaultValues][95][InstallationCategory]",Submission!$O:$O,Submission!$H:$N,""))</f>
        <v>Category A installation</v>
      </c>
      <c r="D297" s="350"/>
      <c r="E297" s="350"/>
      <c r="F297" s="350"/>
      <c r="G297" s="347"/>
      <c r="H297" s="123" t="str">
        <f>_xlfn.CONCAT(_xlfn.XLOOKUP("[S05_DefaultValues][95][FuelMaterialType]",Submission!$O:$O,Submission!$H:$N,""))</f>
        <v>Biomasse-Brennstoff, Sonstige in [t]</v>
      </c>
      <c r="I297" s="106" t="str">
        <f>_xlfn.CONCAT(_xlfn.XLOOKUP("[S05_DefaultValues][95][InstallationNumber]",Submission!$O:$O,Submission!$H:$N,""))</f>
        <v>7</v>
      </c>
    </row>
    <row r="298" spans="1:9" ht="15.9" hidden="1" customHeight="1" outlineLevel="1" x14ac:dyDescent="0.3">
      <c r="A298" s="13"/>
      <c r="B298" s="34"/>
      <c r="C298" s="281" t="str">
        <f>_xlfn.CONCAT(_xlfn.XLOOKUP("[S05_DefaultValues][96][InstallationCategory]",Submission!$O:$O,Submission!$H:$N,""))</f>
        <v>Category A installation</v>
      </c>
      <c r="D298" s="350"/>
      <c r="E298" s="350"/>
      <c r="F298" s="350"/>
      <c r="G298" s="347"/>
      <c r="H298" s="123" t="str">
        <f>_xlfn.CONCAT(_xlfn.XLOOKUP("[S05_DefaultValues][96][FuelMaterialType]",Submission!$O:$O,Submission!$H:$N,""))</f>
        <v>CaCO3</v>
      </c>
      <c r="I298" s="106" t="str">
        <f>_xlfn.CONCAT(_xlfn.XLOOKUP("[S05_DefaultValues][96][InstallationNumber]",Submission!$O:$O,Submission!$H:$N,""))</f>
        <v>28</v>
      </c>
    </row>
    <row r="299" spans="1:9" ht="15.9" hidden="1" customHeight="1" outlineLevel="1" x14ac:dyDescent="0.3">
      <c r="A299" s="13"/>
      <c r="B299" s="34"/>
      <c r="C299" s="281" t="str">
        <f>_xlfn.CONCAT(_xlfn.XLOOKUP("[S05_DefaultValues][97][InstallationCategory]",Submission!$O:$O,Submission!$H:$N,""))</f>
        <v>Category A installation</v>
      </c>
      <c r="D299" s="350"/>
      <c r="E299" s="350"/>
      <c r="F299" s="350"/>
      <c r="G299" s="347"/>
      <c r="H299" s="123" t="str">
        <f>_xlfn.CONCAT(_xlfn.XLOOKUP("[S05_DefaultValues][97][FuelMaterialType]",Submission!$O:$O,Submission!$H:$N,""))</f>
        <v>Cyanwasserstoff</v>
      </c>
      <c r="I299" s="106" t="str">
        <f>_xlfn.CONCAT(_xlfn.XLOOKUP("[S05_DefaultValues][97][InstallationNumber]",Submission!$O:$O,Submission!$H:$N,""))</f>
        <v>1</v>
      </c>
    </row>
    <row r="300" spans="1:9" ht="15.9" hidden="1" customHeight="1" outlineLevel="1" x14ac:dyDescent="0.3">
      <c r="A300" s="13"/>
      <c r="B300" s="34"/>
      <c r="C300" s="281" t="str">
        <f>_xlfn.CONCAT(_xlfn.XLOOKUP("[S05_DefaultValues][98][InstallationCategory]",Submission!$O:$O,Submission!$H:$N,""))</f>
        <v>Category A installation</v>
      </c>
      <c r="D300" s="350"/>
      <c r="E300" s="350"/>
      <c r="F300" s="350"/>
      <c r="G300" s="347"/>
      <c r="H300" s="123" t="str">
        <f>_xlfn.CONCAT(_xlfn.XLOOKUP("[S05_DefaultValues][98][FuelMaterialType]",Submission!$O:$O,Submission!$H:$N,""))</f>
        <v>Dieselkraftstoff</v>
      </c>
      <c r="I300" s="106" t="str">
        <f>_xlfn.CONCAT(_xlfn.XLOOKUP("[S05_DefaultValues][98][InstallationNumber]",Submission!$O:$O,Submission!$H:$N,""))</f>
        <v>68</v>
      </c>
    </row>
    <row r="301" spans="1:9" ht="15.9" hidden="1" customHeight="1" outlineLevel="1" x14ac:dyDescent="0.3">
      <c r="A301" s="13"/>
      <c r="B301" s="34"/>
      <c r="C301" s="281" t="str">
        <f>_xlfn.CONCAT(_xlfn.XLOOKUP("[S05_DefaultValues][99][InstallationCategory]",Submission!$O:$O,Submission!$H:$N,""))</f>
        <v>Category A installation</v>
      </c>
      <c r="D301" s="350"/>
      <c r="E301" s="350"/>
      <c r="F301" s="350"/>
      <c r="G301" s="347"/>
      <c r="H301" s="123" t="str">
        <f>_xlfn.CONCAT(_xlfn.XLOOKUP("[S05_DefaultValues][99][FuelMaterialType]",Submission!$O:$O,Submission!$H:$N,""))</f>
        <v>Dolomit</v>
      </c>
      <c r="I301" s="106" t="str">
        <f>_xlfn.CONCAT(_xlfn.XLOOKUP("[S05_DefaultValues][99][InstallationNumber]",Submission!$O:$O,Submission!$H:$N,""))</f>
        <v>2</v>
      </c>
    </row>
    <row r="302" spans="1:9" ht="15.9" hidden="1" customHeight="1" outlineLevel="1" x14ac:dyDescent="0.3">
      <c r="A302" s="13"/>
      <c r="B302" s="34"/>
      <c r="C302" s="281" t="str">
        <f>_xlfn.CONCAT(_xlfn.XLOOKUP("[S05_DefaultValues][100][InstallationCategory]",Submission!$O:$O,Submission!$H:$N,""))</f>
        <v>Category A installation</v>
      </c>
      <c r="D302" s="350"/>
      <c r="E302" s="350"/>
      <c r="F302" s="350"/>
      <c r="G302" s="347"/>
      <c r="H302" s="123" t="str">
        <f>_xlfn.CONCAT(_xlfn.XLOOKUP("[S05_DefaultValues][100][FuelMaterialType]",Submission!$O:$O,Submission!$H:$N,""))</f>
        <v>Eisenschrott</v>
      </c>
      <c r="I302" s="106" t="str">
        <f>_xlfn.CONCAT(_xlfn.XLOOKUP("[S05_DefaultValues][100][InstallationNumber]",Submission!$O:$O,Submission!$H:$N,""))</f>
        <v>2</v>
      </c>
    </row>
    <row r="303" spans="1:9" ht="15.9" hidden="1" customHeight="1" outlineLevel="1" x14ac:dyDescent="0.3">
      <c r="A303" s="13"/>
      <c r="B303" s="34"/>
      <c r="C303" s="281" t="str">
        <f>_xlfn.CONCAT(_xlfn.XLOOKUP("[S05_DefaultValues][101][InstallationCategory]",Submission!$O:$O,Submission!$H:$N,""))</f>
        <v>Category A installation</v>
      </c>
      <c r="D303" s="350"/>
      <c r="E303" s="350"/>
      <c r="F303" s="350"/>
      <c r="G303" s="347"/>
      <c r="H303" s="123" t="str">
        <f>_xlfn.CONCAT(_xlfn.XLOOKUP("[S05_DefaultValues][101][FuelMaterialType]",Submission!$O:$O,Submission!$H:$N,""))</f>
        <v>Elektrodenabbrand/Anodenmaterial</v>
      </c>
      <c r="I303" s="106" t="str">
        <f>_xlfn.CONCAT(_xlfn.XLOOKUP("[S05_DefaultValues][101][InstallationNumber]",Submission!$O:$O,Submission!$H:$N,""))</f>
        <v>4</v>
      </c>
    </row>
    <row r="304" spans="1:9" ht="15.9" hidden="1" customHeight="1" outlineLevel="1" x14ac:dyDescent="0.3">
      <c r="A304" s="13"/>
      <c r="B304" s="34"/>
      <c r="C304" s="281" t="str">
        <f>_xlfn.CONCAT(_xlfn.XLOOKUP("[S05_DefaultValues][102][InstallationCategory]",Submission!$O:$O,Submission!$H:$N,""))</f>
        <v>Category A installation</v>
      </c>
      <c r="D304" s="350"/>
      <c r="E304" s="350"/>
      <c r="F304" s="350"/>
      <c r="G304" s="347"/>
      <c r="H304" s="123" t="str">
        <f>_xlfn.CONCAT(_xlfn.XLOOKUP("[S05_DefaultValues][102][FuelMaterialType]",Submission!$O:$O,Submission!$H:$N,""))</f>
        <v>Erdgas H</v>
      </c>
      <c r="I304" s="106" t="str">
        <f>_xlfn.CONCAT(_xlfn.XLOOKUP("[S05_DefaultValues][102][InstallationNumber]",Submission!$O:$O,Submission!$H:$N,""))</f>
        <v>200</v>
      </c>
    </row>
    <row r="305" spans="1:9" ht="15.9" hidden="1" customHeight="1" outlineLevel="1" x14ac:dyDescent="0.3">
      <c r="A305" s="13"/>
      <c r="B305" s="34"/>
      <c r="C305" s="281" t="str">
        <f>_xlfn.CONCAT(_xlfn.XLOOKUP("[S05_DefaultValues][103][InstallationCategory]",Submission!$O:$O,Submission!$H:$N,""))</f>
        <v>Category A installation</v>
      </c>
      <c r="D305" s="350"/>
      <c r="E305" s="350"/>
      <c r="F305" s="350"/>
      <c r="G305" s="347"/>
      <c r="H305" s="123" t="str">
        <f>_xlfn.CONCAT(_xlfn.XLOOKUP("[S05_DefaultValues][103][FuelMaterialType]",Submission!$O:$O,Submission!$H:$N,""))</f>
        <v>Erdgas L</v>
      </c>
      <c r="I305" s="106" t="str">
        <f>_xlfn.CONCAT(_xlfn.XLOOKUP("[S05_DefaultValues][103][InstallationNumber]",Submission!$O:$O,Submission!$H:$N,""))</f>
        <v>32</v>
      </c>
    </row>
    <row r="306" spans="1:9" ht="15.9" hidden="1" customHeight="1" outlineLevel="1" x14ac:dyDescent="0.3">
      <c r="A306" s="13"/>
      <c r="B306" s="34"/>
      <c r="C306" s="281" t="str">
        <f>_xlfn.CONCAT(_xlfn.XLOOKUP("[S05_DefaultValues][104][InstallationCategory]",Submission!$O:$O,Submission!$H:$N,""))</f>
        <v>Category A installation</v>
      </c>
      <c r="D306" s="350"/>
      <c r="E306" s="350"/>
      <c r="F306" s="350"/>
      <c r="G306" s="347"/>
      <c r="H306" s="123" t="str">
        <f>_xlfn.CONCAT(_xlfn.XLOOKUP("[S05_DefaultValues][104][FuelMaterialType]",Submission!$O:$O,Submission!$H:$N,""))</f>
        <v>Ersatzwert für feste Produkte</v>
      </c>
      <c r="I306" s="106" t="str">
        <f>_xlfn.CONCAT(_xlfn.XLOOKUP("[S05_DefaultValues][104][InstallationNumber]",Submission!$O:$O,Submission!$H:$N,""))</f>
        <v>4</v>
      </c>
    </row>
    <row r="307" spans="1:9" ht="15.9" hidden="1" customHeight="1" outlineLevel="1" x14ac:dyDescent="0.3">
      <c r="A307" s="13"/>
      <c r="B307" s="34"/>
      <c r="C307" s="281" t="str">
        <f>_xlfn.CONCAT(_xlfn.XLOOKUP("[S05_DefaultValues][105][InstallationCategory]",Submission!$O:$O,Submission!$H:$N,""))</f>
        <v>Category A installation</v>
      </c>
      <c r="D307" s="350"/>
      <c r="E307" s="350"/>
      <c r="F307" s="350"/>
      <c r="G307" s="347"/>
      <c r="H307" s="123" t="str">
        <f>_xlfn.CONCAT(_xlfn.XLOOKUP("[S05_DefaultValues][105][FuelMaterialType]",Submission!$O:$O,Submission!$H:$N,""))</f>
        <v>Ersatzwert für feste Stoffe</v>
      </c>
      <c r="I307" s="106" t="str">
        <f>_xlfn.CONCAT(_xlfn.XLOOKUP("[S05_DefaultValues][105][InstallationNumber]",Submission!$O:$O,Submission!$H:$N,""))</f>
        <v>21</v>
      </c>
    </row>
    <row r="308" spans="1:9" ht="15.9" hidden="1" customHeight="1" outlineLevel="1" x14ac:dyDescent="0.3">
      <c r="A308" s="13"/>
      <c r="B308" s="34"/>
      <c r="C308" s="281" t="str">
        <f>_xlfn.CONCAT(_xlfn.XLOOKUP("[S05_DefaultValues][106][InstallationCategory]",Submission!$O:$O,Submission!$H:$N,""))</f>
        <v>Category A installation</v>
      </c>
      <c r="D308" s="350"/>
      <c r="E308" s="350"/>
      <c r="F308" s="350"/>
      <c r="G308" s="347"/>
      <c r="H308" s="123" t="str">
        <f>_xlfn.CONCAT(_xlfn.XLOOKUP("[S05_DefaultValues][106][FuelMaterialType]",Submission!$O:$O,Submission!$H:$N,""))</f>
        <v>Ersatzwert für flüssige Stoffe</v>
      </c>
      <c r="I308" s="106" t="str">
        <f>_xlfn.CONCAT(_xlfn.XLOOKUP("[S05_DefaultValues][106][InstallationNumber]",Submission!$O:$O,Submission!$H:$N,""))</f>
        <v>4</v>
      </c>
    </row>
    <row r="309" spans="1:9" ht="15.9" hidden="1" customHeight="1" outlineLevel="1" x14ac:dyDescent="0.3">
      <c r="A309" s="13"/>
      <c r="B309" s="34"/>
      <c r="C309" s="281" t="str">
        <f>_xlfn.CONCAT(_xlfn.XLOOKUP("[S05_DefaultValues][107][InstallationCategory]",Submission!$O:$O,Submission!$H:$N,""))</f>
        <v>Category A installation</v>
      </c>
      <c r="D309" s="350"/>
      <c r="E309" s="350"/>
      <c r="F309" s="350"/>
      <c r="G309" s="347"/>
      <c r="H309" s="123" t="str">
        <f>_xlfn.CONCAT(_xlfn.XLOOKUP("[S05_DefaultValues][107][FuelMaterialType]",Submission!$O:$O,Submission!$H:$N,""))</f>
        <v>Ersatzwert für gasförmige Stoffe</v>
      </c>
      <c r="I309" s="106" t="str">
        <f>_xlfn.CONCAT(_xlfn.XLOOKUP("[S05_DefaultValues][107][InstallationNumber]",Submission!$O:$O,Submission!$H:$N,""))</f>
        <v>5</v>
      </c>
    </row>
    <row r="310" spans="1:9" ht="15.9" hidden="1" customHeight="1" outlineLevel="1" x14ac:dyDescent="0.3">
      <c r="A310" s="13"/>
      <c r="B310" s="34"/>
      <c r="C310" s="281" t="str">
        <f>_xlfn.CONCAT(_xlfn.XLOOKUP("[S05_DefaultValues][108][InstallationCategory]",Submission!$O:$O,Submission!$H:$N,""))</f>
        <v>Category A installation</v>
      </c>
      <c r="D310" s="350"/>
      <c r="E310" s="350"/>
      <c r="F310" s="350"/>
      <c r="G310" s="347"/>
      <c r="H310" s="123" t="str">
        <f>_xlfn.CONCAT(_xlfn.XLOOKUP("[S05_DefaultValues][108][FuelMaterialType]",Submission!$O:$O,Submission!$H:$N,""))</f>
        <v>Ersatzwert für gasförmige Stoffe in [t]</v>
      </c>
      <c r="I310" s="106" t="str">
        <f>_xlfn.CONCAT(_xlfn.XLOOKUP("[S05_DefaultValues][108][InstallationNumber]",Submission!$O:$O,Submission!$H:$N,""))</f>
        <v>1</v>
      </c>
    </row>
    <row r="311" spans="1:9" ht="15.9" hidden="1" customHeight="1" outlineLevel="1" x14ac:dyDescent="0.3">
      <c r="A311" s="13"/>
      <c r="B311" s="34"/>
      <c r="C311" s="281" t="str">
        <f>_xlfn.CONCAT(_xlfn.XLOOKUP("[S05_DefaultValues][109][InstallationCategory]",Submission!$O:$O,Submission!$H:$N,""))</f>
        <v>Category A installation</v>
      </c>
      <c r="D311" s="350"/>
      <c r="E311" s="350"/>
      <c r="F311" s="350"/>
      <c r="G311" s="347"/>
      <c r="H311" s="123" t="str">
        <f>_xlfn.CONCAT(_xlfn.XLOOKUP("[S05_DefaultValues][109][FuelMaterialType]",Submission!$O:$O,Submission!$H:$N,""))</f>
        <v>Ersatzwert für gasförmigen Brennstoff in [1000 Nm³]</v>
      </c>
      <c r="I311" s="106" t="str">
        <f>_xlfn.CONCAT(_xlfn.XLOOKUP("[S05_DefaultValues][109][InstallationNumber]",Submission!$O:$O,Submission!$H:$N,""))</f>
        <v>3</v>
      </c>
    </row>
    <row r="312" spans="1:9" ht="15.9" hidden="1" customHeight="1" outlineLevel="1" x14ac:dyDescent="0.3">
      <c r="A312" s="13"/>
      <c r="B312" s="34"/>
      <c r="C312" s="281" t="str">
        <f>_xlfn.CONCAT(_xlfn.XLOOKUP("[S05_DefaultValues][110][InstallationCategory]",Submission!$O:$O,Submission!$H:$N,""))</f>
        <v>Category A installation</v>
      </c>
      <c r="D312" s="350"/>
      <c r="E312" s="350"/>
      <c r="F312" s="350"/>
      <c r="G312" s="347"/>
      <c r="H312" s="123" t="str">
        <f>_xlfn.CONCAT(_xlfn.XLOOKUP("[S05_DefaultValues][110][FuelMaterialType]",Submission!$O:$O,Submission!$H:$N,""))</f>
        <v>Ersatzwert für gasförmigen Brennstoff in [t]</v>
      </c>
      <c r="I312" s="106" t="str">
        <f>_xlfn.CONCAT(_xlfn.XLOOKUP("[S05_DefaultValues][110][InstallationNumber]",Submission!$O:$O,Submission!$H:$N,""))</f>
        <v>2</v>
      </c>
    </row>
    <row r="313" spans="1:9" ht="15.9" hidden="1" customHeight="1" outlineLevel="1" x14ac:dyDescent="0.3">
      <c r="A313" s="13"/>
      <c r="B313" s="34"/>
      <c r="C313" s="281" t="str">
        <f>_xlfn.CONCAT(_xlfn.XLOOKUP("[S05_DefaultValues][111][InstallationCategory]",Submission!$O:$O,Submission!$H:$N,""))</f>
        <v>Category A installation</v>
      </c>
      <c r="D313" s="350"/>
      <c r="E313" s="350"/>
      <c r="F313" s="350"/>
      <c r="G313" s="347"/>
      <c r="H313" s="123" t="str">
        <f>_xlfn.CONCAT(_xlfn.XLOOKUP("[S05_DefaultValues][111][FuelMaterialType]",Submission!$O:$O,Submission!$H:$N,""))</f>
        <v>Ethan</v>
      </c>
      <c r="I313" s="106" t="str">
        <f>_xlfn.CONCAT(_xlfn.XLOOKUP("[S05_DefaultValues][111][InstallationNumber]",Submission!$O:$O,Submission!$H:$N,""))</f>
        <v>1</v>
      </c>
    </row>
    <row r="314" spans="1:9" ht="15.9" hidden="1" customHeight="1" outlineLevel="1" x14ac:dyDescent="0.3">
      <c r="A314" s="13"/>
      <c r="B314" s="34"/>
      <c r="C314" s="281" t="str">
        <f>_xlfn.CONCAT(_xlfn.XLOOKUP("[S05_DefaultValues][112][InstallationCategory]",Submission!$O:$O,Submission!$H:$N,""))</f>
        <v>Category A installation</v>
      </c>
      <c r="D314" s="350"/>
      <c r="E314" s="350"/>
      <c r="F314" s="350"/>
      <c r="G314" s="347"/>
      <c r="H314" s="123" t="str">
        <f>_xlfn.CONCAT(_xlfn.XLOOKUP("[S05_DefaultValues][112][FuelMaterialType]",Submission!$O:$O,Submission!$H:$N,""))</f>
        <v>Ethylen</v>
      </c>
      <c r="I314" s="106" t="str">
        <f>_xlfn.CONCAT(_xlfn.XLOOKUP("[S05_DefaultValues][112][InstallationNumber]",Submission!$O:$O,Submission!$H:$N,""))</f>
        <v>5</v>
      </c>
    </row>
    <row r="315" spans="1:9" ht="15.9" hidden="1" customHeight="1" outlineLevel="1" x14ac:dyDescent="0.3">
      <c r="A315" s="13"/>
      <c r="B315" s="34"/>
      <c r="C315" s="281" t="str">
        <f>_xlfn.CONCAT(_xlfn.XLOOKUP("[S05_DefaultValues][113][InstallationCategory]",Submission!$O:$O,Submission!$H:$N,""))</f>
        <v>Category A installation</v>
      </c>
      <c r="D315" s="350"/>
      <c r="E315" s="350"/>
      <c r="F315" s="350"/>
      <c r="G315" s="347"/>
      <c r="H315" s="123" t="str">
        <f>_xlfn.CONCAT(_xlfn.XLOOKUP("[S05_DefaultValues][113][FuelMaterialType]",Submission!$O:$O,Submission!$H:$N,""))</f>
        <v>Ethylendichlorid</v>
      </c>
      <c r="I315" s="106" t="str">
        <f>_xlfn.CONCAT(_xlfn.XLOOKUP("[S05_DefaultValues][113][InstallationNumber]",Submission!$O:$O,Submission!$H:$N,""))</f>
        <v>2</v>
      </c>
    </row>
    <row r="316" spans="1:9" ht="15.9" hidden="1" customHeight="1" outlineLevel="1" x14ac:dyDescent="0.3">
      <c r="A316" s="13"/>
      <c r="B316" s="34"/>
      <c r="C316" s="281" t="str">
        <f>_xlfn.CONCAT(_xlfn.XLOOKUP("[S05_DefaultValues][114][InstallationCategory]",Submission!$O:$O,Submission!$H:$N,""))</f>
        <v>Category A installation</v>
      </c>
      <c r="D316" s="350"/>
      <c r="E316" s="350"/>
      <c r="F316" s="350"/>
      <c r="G316" s="347"/>
      <c r="H316" s="123" t="str">
        <f>_xlfn.CONCAT(_xlfn.XLOOKUP("[S05_DefaultValues][114][FuelMaterialType]",Submission!$O:$O,Submission!$H:$N,""))</f>
        <v>Flugturbinenkraftstoff</v>
      </c>
      <c r="I316" s="106" t="str">
        <f>_xlfn.CONCAT(_xlfn.XLOOKUP("[S05_DefaultValues][114][InstallationNumber]",Submission!$O:$O,Submission!$H:$N,""))</f>
        <v>2</v>
      </c>
    </row>
    <row r="317" spans="1:9" ht="15.9" hidden="1" customHeight="1" outlineLevel="1" x14ac:dyDescent="0.3">
      <c r="A317" s="13"/>
      <c r="B317" s="34"/>
      <c r="C317" s="281" t="str">
        <f>_xlfn.CONCAT(_xlfn.XLOOKUP("[S05_DefaultValues][115][InstallationCategory]",Submission!$O:$O,Submission!$H:$N,""))</f>
        <v>Category A installation</v>
      </c>
      <c r="D317" s="350"/>
      <c r="E317" s="350"/>
      <c r="F317" s="350"/>
      <c r="G317" s="347"/>
      <c r="H317" s="123" t="str">
        <f>_xlfn.CONCAT(_xlfn.XLOOKUP("[S05_DefaultValues][115][FuelMaterialType]",Submission!$O:$O,Submission!$H:$N,""))</f>
        <v>Flüssiggas</v>
      </c>
      <c r="I317" s="106" t="str">
        <f>_xlfn.CONCAT(_xlfn.XLOOKUP("[S05_DefaultValues][115][InstallationNumber]",Submission!$O:$O,Submission!$H:$N,""))</f>
        <v>1</v>
      </c>
    </row>
    <row r="318" spans="1:9" ht="15.9" hidden="1" customHeight="1" outlineLevel="1" x14ac:dyDescent="0.3">
      <c r="A318" s="13"/>
      <c r="B318" s="34"/>
      <c r="C318" s="281" t="str">
        <f>_xlfn.CONCAT(_xlfn.XLOOKUP("[S05_DefaultValues][116][InstallationCategory]",Submission!$O:$O,Submission!$H:$N,""))</f>
        <v>Category A installation</v>
      </c>
      <c r="D318" s="350"/>
      <c r="E318" s="350"/>
      <c r="F318" s="350"/>
      <c r="G318" s="347"/>
      <c r="H318" s="123" t="str">
        <f>_xlfn.CONCAT(_xlfn.XLOOKUP("[S05_DefaultValues][116][FuelMaterialType]",Submission!$O:$O,Submission!$H:$N,""))</f>
        <v>Flüssiggas (100% Propan)</v>
      </c>
      <c r="I318" s="106" t="str">
        <f>_xlfn.CONCAT(_xlfn.XLOOKUP("[S05_DefaultValues][116][InstallationNumber]",Submission!$O:$O,Submission!$H:$N,""))</f>
        <v>12</v>
      </c>
    </row>
    <row r="319" spans="1:9" ht="15.9" hidden="1" customHeight="1" outlineLevel="1" x14ac:dyDescent="0.3">
      <c r="A319" s="13"/>
      <c r="B319" s="34"/>
      <c r="C319" s="281" t="str">
        <f>_xlfn.CONCAT(_xlfn.XLOOKUP("[S05_DefaultValues][117][InstallationCategory]",Submission!$O:$O,Submission!$H:$N,""))</f>
        <v>Category A installation</v>
      </c>
      <c r="D319" s="350"/>
      <c r="E319" s="350"/>
      <c r="F319" s="350"/>
      <c r="G319" s="347"/>
      <c r="H319" s="123" t="str">
        <f>_xlfn.CONCAT(_xlfn.XLOOKUP("[S05_DefaultValues][117][FuelMaterialType]",Submission!$O:$O,Submission!$H:$N,""))</f>
        <v>Harnstoff/Urea</v>
      </c>
      <c r="I319" s="106" t="str">
        <f>_xlfn.CONCAT(_xlfn.XLOOKUP("[S05_DefaultValues][117][InstallationNumber]",Submission!$O:$O,Submission!$H:$N,""))</f>
        <v>13</v>
      </c>
    </row>
    <row r="320" spans="1:9" ht="15.9" hidden="1" customHeight="1" outlineLevel="1" x14ac:dyDescent="0.3">
      <c r="A320" s="13"/>
      <c r="B320" s="34"/>
      <c r="C320" s="281" t="str">
        <f>_xlfn.CONCAT(_xlfn.XLOOKUP("[S05_DefaultValues][118][InstallationCategory]",Submission!$O:$O,Submission!$H:$N,""))</f>
        <v>Category A installation</v>
      </c>
      <c r="D320" s="350"/>
      <c r="E320" s="350"/>
      <c r="F320" s="350"/>
      <c r="G320" s="347"/>
      <c r="H320" s="123" t="str">
        <f>_xlfn.CONCAT(_xlfn.XLOOKUP("[S05_DefaultValues][118][FuelMaterialType]",Submission!$O:$O,Submission!$H:$N,""))</f>
        <v>Heizöl EL nach DIN 51603, Teil 1</v>
      </c>
      <c r="I320" s="106" t="str">
        <f>_xlfn.CONCAT(_xlfn.XLOOKUP("[S05_DefaultValues][118][InstallationNumber]",Submission!$O:$O,Submission!$H:$N,""))</f>
        <v>119</v>
      </c>
    </row>
    <row r="321" spans="1:9" ht="15.9" hidden="1" customHeight="1" outlineLevel="1" x14ac:dyDescent="0.3">
      <c r="A321" s="13"/>
      <c r="B321" s="34"/>
      <c r="C321" s="281" t="str">
        <f>_xlfn.CONCAT(_xlfn.XLOOKUP("[S05_DefaultValues][119][InstallationCategory]",Submission!$O:$O,Submission!$H:$N,""))</f>
        <v>Category A installation</v>
      </c>
      <c r="D321" s="350"/>
      <c r="E321" s="350"/>
      <c r="F321" s="350"/>
      <c r="G321" s="347"/>
      <c r="H321" s="123" t="str">
        <f>_xlfn.CONCAT(_xlfn.XLOOKUP("[S05_DefaultValues][119][FuelMaterialType]",Submission!$O:$O,Submission!$H:$N,""))</f>
        <v>Heizöl S nach DIN 51603, Teil 3</v>
      </c>
      <c r="I321" s="106" t="str">
        <f>_xlfn.CONCAT(_xlfn.XLOOKUP("[S05_DefaultValues][119][InstallationNumber]",Submission!$O:$O,Submission!$H:$N,""))</f>
        <v>10</v>
      </c>
    </row>
    <row r="322" spans="1:9" ht="15.9" hidden="1" customHeight="1" outlineLevel="1" x14ac:dyDescent="0.3">
      <c r="A322" s="13"/>
      <c r="B322" s="34"/>
      <c r="C322" s="281" t="str">
        <f>_xlfn.CONCAT(_xlfn.XLOOKUP("[S05_DefaultValues][120][InstallationCategory]",Submission!$O:$O,Submission!$H:$N,""))</f>
        <v>Category A installation</v>
      </c>
      <c r="D322" s="350"/>
      <c r="E322" s="350"/>
      <c r="F322" s="350"/>
      <c r="G322" s="347"/>
      <c r="H322" s="123" t="str">
        <f>_xlfn.CONCAT(_xlfn.XLOOKUP("[S05_DefaultValues][120][FuelMaterialType]",Submission!$O:$O,Submission!$H:$N,""))</f>
        <v>Holzkohle</v>
      </c>
      <c r="I322" s="106" t="str">
        <f>_xlfn.CONCAT(_xlfn.XLOOKUP("[S05_DefaultValues][120][InstallationNumber]",Submission!$O:$O,Submission!$H:$N,""))</f>
        <v>2</v>
      </c>
    </row>
    <row r="323" spans="1:9" ht="15.9" hidden="1" customHeight="1" outlineLevel="1" x14ac:dyDescent="0.3">
      <c r="A323" s="13"/>
      <c r="B323" s="34"/>
      <c r="C323" s="281" t="str">
        <f>_xlfn.CONCAT(_xlfn.XLOOKUP("[S05_DefaultValues][121][InstallationCategory]",Submission!$O:$O,Submission!$H:$N,""))</f>
        <v>Category A installation</v>
      </c>
      <c r="D323" s="350"/>
      <c r="E323" s="350"/>
      <c r="F323" s="350"/>
      <c r="G323" s="347"/>
      <c r="H323" s="123" t="str">
        <f>_xlfn.CONCAT(_xlfn.XLOOKUP("[S05_DefaultValues][121][FuelMaterialType]",Submission!$O:$O,Submission!$H:$N,""))</f>
        <v>K2CO3</v>
      </c>
      <c r="I323" s="106" t="str">
        <f>_xlfn.CONCAT(_xlfn.XLOOKUP("[S05_DefaultValues][121][InstallationNumber]",Submission!$O:$O,Submission!$H:$N,""))</f>
        <v>2</v>
      </c>
    </row>
    <row r="324" spans="1:9" ht="15.9" hidden="1" customHeight="1" outlineLevel="1" x14ac:dyDescent="0.3">
      <c r="A324" s="13"/>
      <c r="B324" s="34"/>
      <c r="C324" s="281" t="str">
        <f>_xlfn.CONCAT(_xlfn.XLOOKUP("[S05_DefaultValues][122][InstallationCategory]",Submission!$O:$O,Submission!$H:$N,""))</f>
        <v>Category A installation</v>
      </c>
      <c r="D324" s="350"/>
      <c r="E324" s="350"/>
      <c r="F324" s="350"/>
      <c r="G324" s="347"/>
      <c r="H324" s="123" t="str">
        <f>_xlfn.CONCAT(_xlfn.XLOOKUP("[S05_DefaultValues][122][FuelMaterialType]",Submission!$O:$O,Submission!$H:$N,""))</f>
        <v>Kalziumkarbid/Calciumcarbid</v>
      </c>
      <c r="I324" s="106" t="str">
        <f>_xlfn.CONCAT(_xlfn.XLOOKUP("[S05_DefaultValues][122][InstallationNumber]",Submission!$O:$O,Submission!$H:$N,""))</f>
        <v>1</v>
      </c>
    </row>
    <row r="325" spans="1:9" ht="15.9" hidden="1" customHeight="1" outlineLevel="1" x14ac:dyDescent="0.3">
      <c r="A325" s="13"/>
      <c r="B325" s="34"/>
      <c r="C325" s="281" t="str">
        <f>_xlfn.CONCAT(_xlfn.XLOOKUP("[S05_DefaultValues][123][InstallationCategory]",Submission!$O:$O,Submission!$H:$N,""))</f>
        <v>Category A installation</v>
      </c>
      <c r="D325" s="350"/>
      <c r="E325" s="350"/>
      <c r="F325" s="350"/>
      <c r="G325" s="347"/>
      <c r="H325" s="123" t="str">
        <f>_xlfn.CONCAT(_xlfn.XLOOKUP("[S05_DefaultValues][123][FuelMaterialType]",Submission!$O:$O,Submission!$H:$N,""))</f>
        <v>Kohlendioxid</v>
      </c>
      <c r="I325" s="106" t="str">
        <f>_xlfn.CONCAT(_xlfn.XLOOKUP("[S05_DefaultValues][123][InstallationNumber]",Submission!$O:$O,Submission!$H:$N,""))</f>
        <v>11</v>
      </c>
    </row>
    <row r="326" spans="1:9" ht="15.9" hidden="1" customHeight="1" outlineLevel="1" x14ac:dyDescent="0.3">
      <c r="A326" s="13"/>
      <c r="B326" s="34"/>
      <c r="C326" s="281" t="str">
        <f>_xlfn.CONCAT(_xlfn.XLOOKUP("[S05_DefaultValues][124][InstallationCategory]",Submission!$O:$O,Submission!$H:$N,""))</f>
        <v>Category A installation</v>
      </c>
      <c r="D326" s="350"/>
      <c r="E326" s="350"/>
      <c r="F326" s="350"/>
      <c r="G326" s="347"/>
      <c r="H326" s="123" t="str">
        <f>_xlfn.CONCAT(_xlfn.XLOOKUP("[S05_DefaultValues][124][FuelMaterialType]",Submission!$O:$O,Submission!$H:$N,""))</f>
        <v>Kohlenmonoxid</v>
      </c>
      <c r="I326" s="106" t="str">
        <f>_xlfn.CONCAT(_xlfn.XLOOKUP("[S05_DefaultValues][124][InstallationNumber]",Submission!$O:$O,Submission!$H:$N,""))</f>
        <v>1</v>
      </c>
    </row>
    <row r="327" spans="1:9" ht="15.9" hidden="1" customHeight="1" outlineLevel="1" x14ac:dyDescent="0.3">
      <c r="A327" s="13"/>
      <c r="B327" s="34"/>
      <c r="C327" s="281" t="str">
        <f>_xlfn.CONCAT(_xlfn.XLOOKUP("[S05_DefaultValues][125][InstallationCategory]",Submission!$O:$O,Submission!$H:$N,""))</f>
        <v>Category A installation</v>
      </c>
      <c r="D327" s="350"/>
      <c r="E327" s="350"/>
      <c r="F327" s="350"/>
      <c r="G327" s="347"/>
      <c r="H327" s="123" t="str">
        <f>_xlfn.CONCAT(_xlfn.XLOOKUP("[S05_DefaultValues][125][FuelMaterialType]",Submission!$O:$O,Submission!$H:$N,""))</f>
        <v>Legierungsbestandteile</v>
      </c>
      <c r="I327" s="106" t="str">
        <f>_xlfn.CONCAT(_xlfn.XLOOKUP("[S05_DefaultValues][125][InstallationNumber]",Submission!$O:$O,Submission!$H:$N,""))</f>
        <v>3</v>
      </c>
    </row>
    <row r="328" spans="1:9" ht="15.9" hidden="1" customHeight="1" outlineLevel="1" x14ac:dyDescent="0.3">
      <c r="A328" s="13"/>
      <c r="B328" s="34"/>
      <c r="C328" s="281" t="str">
        <f>_xlfn.CONCAT(_xlfn.XLOOKUP("[S05_DefaultValues][126][InstallationCategory]",Submission!$O:$O,Submission!$H:$N,""))</f>
        <v>Category A installation</v>
      </c>
      <c r="D328" s="350"/>
      <c r="E328" s="350"/>
      <c r="F328" s="350"/>
      <c r="G328" s="347"/>
      <c r="H328" s="123" t="str">
        <f>_xlfn.CONCAT(_xlfn.XLOOKUP("[S05_DefaultValues][126][FuelMaterialType]",Submission!$O:$O,Submission!$H:$N,""))</f>
        <v>Li2CO3</v>
      </c>
      <c r="I328" s="106" t="str">
        <f>_xlfn.CONCAT(_xlfn.XLOOKUP("[S05_DefaultValues][126][InstallationNumber]",Submission!$O:$O,Submission!$H:$N,""))</f>
        <v>2</v>
      </c>
    </row>
    <row r="329" spans="1:9" ht="15.9" hidden="1" customHeight="1" outlineLevel="1" x14ac:dyDescent="0.3">
      <c r="A329" s="13"/>
      <c r="B329" s="34"/>
      <c r="C329" s="281" t="str">
        <f>_xlfn.CONCAT(_xlfn.XLOOKUP("[S05_DefaultValues][127][InstallationCategory]",Submission!$O:$O,Submission!$H:$N,""))</f>
        <v>Category A installation</v>
      </c>
      <c r="D329" s="350"/>
      <c r="E329" s="350"/>
      <c r="F329" s="350"/>
      <c r="G329" s="347"/>
      <c r="H329" s="123" t="str">
        <f>_xlfn.CONCAT(_xlfn.XLOOKUP("[S05_DefaultValues][127][FuelMaterialType]",Submission!$O:$O,Submission!$H:$N,""))</f>
        <v>Lösemittel (Abfall)</v>
      </c>
      <c r="I329" s="106" t="str">
        <f>_xlfn.CONCAT(_xlfn.XLOOKUP("[S05_DefaultValues][127][InstallationNumber]",Submission!$O:$O,Submission!$H:$N,""))</f>
        <v>1</v>
      </c>
    </row>
    <row r="330" spans="1:9" ht="15.9" hidden="1" customHeight="1" outlineLevel="1" x14ac:dyDescent="0.3">
      <c r="A330" s="13"/>
      <c r="B330" s="34"/>
      <c r="C330" s="281" t="str">
        <f>_xlfn.CONCAT(_xlfn.XLOOKUP("[S05_DefaultValues][128][InstallationCategory]",Submission!$O:$O,Submission!$H:$N,""))</f>
        <v>Category A installation</v>
      </c>
      <c r="D330" s="350"/>
      <c r="E330" s="350"/>
      <c r="F330" s="350"/>
      <c r="G330" s="347"/>
      <c r="H330" s="123" t="str">
        <f>_xlfn.CONCAT(_xlfn.XLOOKUP("[S05_DefaultValues][128][FuelMaterialType]",Submission!$O:$O,Submission!$H:$N,""))</f>
        <v>Methan</v>
      </c>
      <c r="I330" s="106" t="str">
        <f>_xlfn.CONCAT(_xlfn.XLOOKUP("[S05_DefaultValues][128][InstallationNumber]",Submission!$O:$O,Submission!$H:$N,""))</f>
        <v>2</v>
      </c>
    </row>
    <row r="331" spans="1:9" ht="15.9" hidden="1" customHeight="1" outlineLevel="1" x14ac:dyDescent="0.3">
      <c r="A331" s="13"/>
      <c r="B331" s="34"/>
      <c r="C331" s="281" t="str">
        <f>_xlfn.CONCAT(_xlfn.XLOOKUP("[S05_DefaultValues][129][InstallationCategory]",Submission!$O:$O,Submission!$H:$N,""))</f>
        <v>Category A installation</v>
      </c>
      <c r="D331" s="350"/>
      <c r="E331" s="350"/>
      <c r="F331" s="350"/>
      <c r="G331" s="347"/>
      <c r="H331" s="123" t="str">
        <f>_xlfn.CONCAT(_xlfn.XLOOKUP("[S05_DefaultValues][129][FuelMaterialType]",Submission!$O:$O,Submission!$H:$N,""))</f>
        <v>Methanol</v>
      </c>
      <c r="I331" s="106" t="str">
        <f>_xlfn.CONCAT(_xlfn.XLOOKUP("[S05_DefaultValues][129][InstallationNumber]",Submission!$O:$O,Submission!$H:$N,""))</f>
        <v>2</v>
      </c>
    </row>
    <row r="332" spans="1:9" ht="15.9" hidden="1" customHeight="1" outlineLevel="1" x14ac:dyDescent="0.3">
      <c r="A332" s="13"/>
      <c r="B332" s="34"/>
      <c r="C332" s="281" t="str">
        <f>_xlfn.CONCAT(_xlfn.XLOOKUP("[S05_DefaultValues][130][InstallationCategory]",Submission!$O:$O,Submission!$H:$N,""))</f>
        <v>Category A installation</v>
      </c>
      <c r="D332" s="350"/>
      <c r="E332" s="350"/>
      <c r="F332" s="350"/>
      <c r="G332" s="347"/>
      <c r="H332" s="123" t="str">
        <f>_xlfn.CONCAT(_xlfn.XLOOKUP("[S05_DefaultValues][130][FuelMaterialType]",Submission!$O:$O,Submission!$H:$N,""))</f>
        <v>MgCO3</v>
      </c>
      <c r="I332" s="106" t="str">
        <f>_xlfn.CONCAT(_xlfn.XLOOKUP("[S05_DefaultValues][130][InstallationNumber]",Submission!$O:$O,Submission!$H:$N,""))</f>
        <v>1</v>
      </c>
    </row>
    <row r="333" spans="1:9" ht="15.9" hidden="1" customHeight="1" outlineLevel="1" x14ac:dyDescent="0.3">
      <c r="A333" s="13"/>
      <c r="B333" s="34"/>
      <c r="C333" s="281" t="str">
        <f>_xlfn.CONCAT(_xlfn.XLOOKUP("[S05_DefaultValues][131][InstallationCategory]",Submission!$O:$O,Submission!$H:$N,""))</f>
        <v>Category A installation</v>
      </c>
      <c r="D333" s="350"/>
      <c r="E333" s="350"/>
      <c r="F333" s="350"/>
      <c r="G333" s="347"/>
      <c r="H333" s="123" t="str">
        <f>_xlfn.CONCAT(_xlfn.XLOOKUP("[S05_DefaultValues][131][FuelMaterialType]",Submission!$O:$O,Submission!$H:$N,""))</f>
        <v>Na2CO3</v>
      </c>
      <c r="I333" s="106" t="str">
        <f>_xlfn.CONCAT(_xlfn.XLOOKUP("[S05_DefaultValues][131][InstallationNumber]",Submission!$O:$O,Submission!$H:$N,""))</f>
        <v>17</v>
      </c>
    </row>
    <row r="334" spans="1:9" ht="15.9" hidden="1" customHeight="1" outlineLevel="1" x14ac:dyDescent="0.3">
      <c r="A334" s="13"/>
      <c r="B334" s="34"/>
      <c r="C334" s="281" t="str">
        <f>_xlfn.CONCAT(_xlfn.XLOOKUP("[S05_DefaultValues][132][InstallationCategory]",Submission!$O:$O,Submission!$H:$N,""))</f>
        <v>Category A installation</v>
      </c>
      <c r="D334" s="350"/>
      <c r="E334" s="350"/>
      <c r="F334" s="350"/>
      <c r="G334" s="347"/>
      <c r="H334" s="123" t="str">
        <f>_xlfn.CONCAT(_xlfn.XLOOKUP("[S05_DefaultValues][132][FuelMaterialType]",Submission!$O:$O,Submission!$H:$N,""))</f>
        <v>NaHCO3</v>
      </c>
      <c r="I334" s="106" t="str">
        <f>_xlfn.CONCAT(_xlfn.XLOOKUP("[S05_DefaultValues][132][InstallationNumber]",Submission!$O:$O,Submission!$H:$N,""))</f>
        <v>5</v>
      </c>
    </row>
    <row r="335" spans="1:9" ht="15.9" hidden="1" customHeight="1" outlineLevel="1" x14ac:dyDescent="0.3">
      <c r="A335" s="13"/>
      <c r="B335" s="34"/>
      <c r="C335" s="281" t="str">
        <f>_xlfn.CONCAT(_xlfn.XLOOKUP("[S05_DefaultValues][133][InstallationCategory]",Submission!$O:$O,Submission!$H:$N,""))</f>
        <v>Category A installation</v>
      </c>
      <c r="D335" s="350"/>
      <c r="E335" s="350"/>
      <c r="F335" s="350"/>
      <c r="G335" s="347"/>
      <c r="H335" s="123" t="str">
        <f>_xlfn.CONCAT(_xlfn.XLOOKUP("[S05_DefaultValues][133][FuelMaterialType]",Submission!$O:$O,Submission!$H:$N,""))</f>
        <v>Ottokraftstoff</v>
      </c>
      <c r="I335" s="106" t="str">
        <f>_xlfn.CONCAT(_xlfn.XLOOKUP("[S05_DefaultValues][133][InstallationNumber]",Submission!$O:$O,Submission!$H:$N,""))</f>
        <v>1</v>
      </c>
    </row>
    <row r="336" spans="1:9" ht="15.9" hidden="1" customHeight="1" outlineLevel="1" x14ac:dyDescent="0.3">
      <c r="A336" s="13"/>
      <c r="B336" s="34"/>
      <c r="C336" s="281" t="str">
        <f>_xlfn.CONCAT(_xlfn.XLOOKUP("[S05_DefaultValues][134][InstallationCategory]",Submission!$O:$O,Submission!$H:$N,""))</f>
        <v>Category A installation</v>
      </c>
      <c r="D336" s="350"/>
      <c r="E336" s="350"/>
      <c r="F336" s="350"/>
      <c r="G336" s="347"/>
      <c r="H336" s="123" t="str">
        <f>_xlfn.CONCAT(_xlfn.XLOOKUP("[S05_DefaultValues][134][FuelMaterialType]",Submission!$O:$O,Submission!$H:$N,""))</f>
        <v>Petrolkoks</v>
      </c>
      <c r="I336" s="106" t="str">
        <f>_xlfn.CONCAT(_xlfn.XLOOKUP("[S05_DefaultValues][134][InstallationNumber]",Submission!$O:$O,Submission!$H:$N,""))</f>
        <v>4</v>
      </c>
    </row>
    <row r="337" spans="1:9" ht="15.9" hidden="1" customHeight="1" outlineLevel="1" x14ac:dyDescent="0.3">
      <c r="A337" s="13"/>
      <c r="B337" s="34"/>
      <c r="C337" s="281" t="str">
        <f>_xlfn.CONCAT(_xlfn.XLOOKUP("[S05_DefaultValues][135][InstallationCategory]",Submission!$O:$O,Submission!$H:$N,""))</f>
        <v>Category A installation</v>
      </c>
      <c r="D337" s="350"/>
      <c r="E337" s="350"/>
      <c r="F337" s="350"/>
      <c r="G337" s="347"/>
      <c r="H337" s="123" t="str">
        <f>_xlfn.CONCAT(_xlfn.XLOOKUP("[S05_DefaultValues][135][FuelMaterialType]",Submission!$O:$O,Submission!$H:$N,""))</f>
        <v>Polystyrol (geschäumt)</v>
      </c>
      <c r="I337" s="106" t="str">
        <f>_xlfn.CONCAT(_xlfn.XLOOKUP("[S05_DefaultValues][135][InstallationNumber]",Submission!$O:$O,Submission!$H:$N,""))</f>
        <v>9</v>
      </c>
    </row>
    <row r="338" spans="1:9" ht="15.9" hidden="1" customHeight="1" outlineLevel="1" x14ac:dyDescent="0.3">
      <c r="A338" s="13"/>
      <c r="B338" s="34"/>
      <c r="C338" s="281" t="str">
        <f>_xlfn.CONCAT(_xlfn.XLOOKUP("[S05_DefaultValues][136][InstallationCategory]",Submission!$O:$O,Submission!$H:$N,""))</f>
        <v>Category A installation</v>
      </c>
      <c r="D338" s="350"/>
      <c r="E338" s="350"/>
      <c r="F338" s="350"/>
      <c r="G338" s="347"/>
      <c r="H338" s="123" t="str">
        <f>_xlfn.CONCAT(_xlfn.XLOOKUP("[S05_DefaultValues][136][FuelMaterialType]",Submission!$O:$O,Submission!$H:$N,""))</f>
        <v>Produktion sonstiger Kalk</v>
      </c>
      <c r="I338" s="106" t="str">
        <f>_xlfn.CONCAT(_xlfn.XLOOKUP("[S05_DefaultValues][136][InstallationNumber]",Submission!$O:$O,Submission!$H:$N,""))</f>
        <v>1</v>
      </c>
    </row>
    <row r="339" spans="1:9" ht="15.9" hidden="1" customHeight="1" outlineLevel="1" x14ac:dyDescent="0.3">
      <c r="A339" s="13"/>
      <c r="B339" s="34"/>
      <c r="C339" s="281" t="str">
        <f>_xlfn.CONCAT(_xlfn.XLOOKUP("[S05_DefaultValues][137][InstallationCategory]",Submission!$O:$O,Submission!$H:$N,""))</f>
        <v>Category A installation</v>
      </c>
      <c r="D339" s="350"/>
      <c r="E339" s="350"/>
      <c r="F339" s="350"/>
      <c r="G339" s="347"/>
      <c r="H339" s="123" t="str">
        <f>_xlfn.CONCAT(_xlfn.XLOOKUP("[S05_DefaultValues][137][FuelMaterialType]",Submission!$O:$O,Submission!$H:$N,""))</f>
        <v>Produktion von Magnesiumoxid</v>
      </c>
      <c r="I339" s="106" t="str">
        <f>_xlfn.CONCAT(_xlfn.XLOOKUP("[S05_DefaultValues][137][InstallationNumber]",Submission!$O:$O,Submission!$H:$N,""))</f>
        <v>1</v>
      </c>
    </row>
    <row r="340" spans="1:9" ht="15.9" hidden="1" customHeight="1" outlineLevel="1" x14ac:dyDescent="0.3">
      <c r="A340" s="13"/>
      <c r="B340" s="34"/>
      <c r="C340" s="281" t="str">
        <f>_xlfn.CONCAT(_xlfn.XLOOKUP("[S05_DefaultValues][138][InstallationCategory]",Submission!$O:$O,Submission!$H:$N,""))</f>
        <v>Category A installation</v>
      </c>
      <c r="D340" s="350"/>
      <c r="E340" s="350"/>
      <c r="F340" s="350"/>
      <c r="G340" s="347"/>
      <c r="H340" s="123" t="str">
        <f>_xlfn.CONCAT(_xlfn.XLOOKUP("[S05_DefaultValues][138][FuelMaterialType]",Submission!$O:$O,Submission!$H:$N,""))</f>
        <v>Propan</v>
      </c>
      <c r="I340" s="106" t="str">
        <f>_xlfn.CONCAT(_xlfn.XLOOKUP("[S05_DefaultValues][138][InstallationNumber]",Submission!$O:$O,Submission!$H:$N,""))</f>
        <v>1</v>
      </c>
    </row>
    <row r="341" spans="1:9" ht="15.9" hidden="1" customHeight="1" outlineLevel="1" x14ac:dyDescent="0.3">
      <c r="A341" s="13"/>
      <c r="B341" s="34"/>
      <c r="C341" s="281" t="str">
        <f>_xlfn.CONCAT(_xlfn.XLOOKUP("[S05_DefaultValues][139][InstallationCategory]",Submission!$O:$O,Submission!$H:$N,""))</f>
        <v>Category A installation</v>
      </c>
      <c r="D341" s="350"/>
      <c r="E341" s="350"/>
      <c r="F341" s="350"/>
      <c r="G341" s="347"/>
      <c r="H341" s="123" t="str">
        <f>_xlfn.CONCAT(_xlfn.XLOOKUP("[S05_DefaultValues][139][FuelMaterialType]",Submission!$O:$O,Submission!$H:$N,""))</f>
        <v>Propylen</v>
      </c>
      <c r="I341" s="106" t="str">
        <f>_xlfn.CONCAT(_xlfn.XLOOKUP("[S05_DefaultValues][139][InstallationNumber]",Submission!$O:$O,Submission!$H:$N,""))</f>
        <v>1</v>
      </c>
    </row>
    <row r="342" spans="1:9" ht="15.9" hidden="1" customHeight="1" outlineLevel="1" x14ac:dyDescent="0.3">
      <c r="A342" s="13"/>
      <c r="B342" s="34"/>
      <c r="C342" s="281" t="str">
        <f>_xlfn.CONCAT(_xlfn.XLOOKUP("[S05_DefaultValues][140][InstallationCategory]",Submission!$O:$O,Submission!$H:$N,""))</f>
        <v>Category A installation</v>
      </c>
      <c r="D342" s="350"/>
      <c r="E342" s="350"/>
      <c r="F342" s="350"/>
      <c r="G342" s="347"/>
      <c r="H342" s="123" t="str">
        <f>_xlfn.CONCAT(_xlfn.XLOOKUP("[S05_DefaultValues][140][FuelMaterialType]",Submission!$O:$O,Submission!$H:$N,""))</f>
        <v>Schmierstoff</v>
      </c>
      <c r="I342" s="106" t="str">
        <f>_xlfn.CONCAT(_xlfn.XLOOKUP("[S05_DefaultValues][140][InstallationNumber]",Submission!$O:$O,Submission!$H:$N,""))</f>
        <v>9</v>
      </c>
    </row>
    <row r="343" spans="1:9" ht="15.9" hidden="1" customHeight="1" outlineLevel="1" x14ac:dyDescent="0.3">
      <c r="A343" s="13"/>
      <c r="B343" s="34"/>
      <c r="C343" s="281" t="str">
        <f>_xlfn.CONCAT(_xlfn.XLOOKUP("[S05_DefaultValues][141][InstallationCategory]",Submission!$O:$O,Submission!$H:$N,""))</f>
        <v>Category A installation</v>
      </c>
      <c r="D343" s="350"/>
      <c r="E343" s="350"/>
      <c r="F343" s="350"/>
      <c r="G343" s="347"/>
      <c r="H343" s="123" t="str">
        <f>_xlfn.CONCAT(_xlfn.XLOOKUP("[S05_DefaultValues][141][FuelMaterialType]",Submission!$O:$O,Submission!$H:$N,""))</f>
        <v>sonstige Kohlen</v>
      </c>
      <c r="I343" s="106" t="str">
        <f>_xlfn.CONCAT(_xlfn.XLOOKUP("[S05_DefaultValues][141][InstallationNumber]",Submission!$O:$O,Submission!$H:$N,""))</f>
        <v>1</v>
      </c>
    </row>
    <row r="344" spans="1:9" ht="15.9" hidden="1" customHeight="1" outlineLevel="1" x14ac:dyDescent="0.3">
      <c r="A344" s="13"/>
      <c r="B344" s="34"/>
      <c r="C344" s="281" t="str">
        <f>_xlfn.CONCAT(_xlfn.XLOOKUP("[S05_DefaultValues][142][InstallationCategory]",Submission!$O:$O,Submission!$H:$N,""))</f>
        <v>Category A installation</v>
      </c>
      <c r="D344" s="350"/>
      <c r="E344" s="350"/>
      <c r="F344" s="350"/>
      <c r="G344" s="347"/>
      <c r="H344" s="123" t="str">
        <f>_xlfn.CONCAT(_xlfn.XLOOKUP("[S05_DefaultValues][142][FuelMaterialType]",Submission!$O:$O,Submission!$H:$N,""))</f>
        <v>SrCO3</v>
      </c>
      <c r="I344" s="106" t="str">
        <f>_xlfn.CONCAT(_xlfn.XLOOKUP("[S05_DefaultValues][142][InstallationNumber]",Submission!$O:$O,Submission!$H:$N,""))</f>
        <v>1</v>
      </c>
    </row>
    <row r="345" spans="1:9" ht="15.9" hidden="1" customHeight="1" outlineLevel="1" x14ac:dyDescent="0.3">
      <c r="A345" s="13"/>
      <c r="B345" s="34"/>
      <c r="C345" s="281" t="str">
        <f>_xlfn.CONCAT(_xlfn.XLOOKUP("[S05_DefaultValues][143][InstallationCategory]",Submission!$O:$O,Submission!$H:$N,""))</f>
        <v>Category A installation</v>
      </c>
      <c r="D345" s="350"/>
      <c r="E345" s="350"/>
      <c r="F345" s="350"/>
      <c r="G345" s="347"/>
      <c r="H345" s="123" t="str">
        <f>_xlfn.CONCAT(_xlfn.XLOOKUP("[S05_DefaultValues][143][FuelMaterialType]",Submission!$O:$O,Submission!$H:$N,""))</f>
        <v>Stahl/Stahlschrott</v>
      </c>
      <c r="I345" s="106" t="str">
        <f>_xlfn.CONCAT(_xlfn.XLOOKUP("[S05_DefaultValues][143][InstallationNumber]",Submission!$O:$O,Submission!$H:$N,""))</f>
        <v>6</v>
      </c>
    </row>
    <row r="346" spans="1:9" ht="15.9" hidden="1" customHeight="1" outlineLevel="1" x14ac:dyDescent="0.3">
      <c r="A346" s="13"/>
      <c r="B346" s="34"/>
      <c r="C346" s="281" t="str">
        <f>_xlfn.CONCAT(_xlfn.XLOOKUP("[S05_DefaultValues][144][InstallationCategory]",Submission!$O:$O,Submission!$H:$N,""))</f>
        <v>Category A installation</v>
      </c>
      <c r="D346" s="350"/>
      <c r="E346" s="350"/>
      <c r="F346" s="350"/>
      <c r="G346" s="347"/>
      <c r="H346" s="123" t="str">
        <f>_xlfn.CONCAT(_xlfn.XLOOKUP("[S05_DefaultValues][144][FuelMaterialType]",Submission!$O:$O,Submission!$H:$N,""))</f>
        <v>Steinkohlenkoks</v>
      </c>
      <c r="I346" s="106" t="str">
        <f>_xlfn.CONCAT(_xlfn.XLOOKUP("[S05_DefaultValues][144][InstallationNumber]",Submission!$O:$O,Submission!$H:$N,""))</f>
        <v>7</v>
      </c>
    </row>
    <row r="347" spans="1:9" ht="15.9" hidden="1" customHeight="1" outlineLevel="1" x14ac:dyDescent="0.3">
      <c r="A347" s="13"/>
      <c r="B347" s="34"/>
      <c r="C347" s="281" t="str">
        <f>_xlfn.CONCAT(_xlfn.XLOOKUP("[S05_DefaultValues][145][InstallationCategory]",Submission!$O:$O,Submission!$H:$N,""))</f>
        <v>Category A installation</v>
      </c>
      <c r="D347" s="350"/>
      <c r="E347" s="350"/>
      <c r="F347" s="350"/>
      <c r="G347" s="347"/>
      <c r="H347" s="123" t="str">
        <f>_xlfn.CONCAT(_xlfn.XLOOKUP("[S05_DefaultValues][145][FuelMaterialType]",Submission!$O:$O,Submission!$H:$N,""))</f>
        <v>Vinylacetat</v>
      </c>
      <c r="I347" s="106" t="str">
        <f>_xlfn.CONCAT(_xlfn.XLOOKUP("[S05_DefaultValues][145][InstallationNumber]",Submission!$O:$O,Submission!$H:$N,""))</f>
        <v>1</v>
      </c>
    </row>
    <row r="348" spans="1:9" ht="15.9" hidden="1" customHeight="1" outlineLevel="1" x14ac:dyDescent="0.3">
      <c r="A348" s="13"/>
      <c r="B348" s="34"/>
      <c r="C348" s="281" t="str">
        <f>_xlfn.CONCAT(_xlfn.XLOOKUP("[S05_DefaultValues][146][InstallationCategory]",Submission!$O:$O,Submission!$H:$N,""))</f>
        <v>Category A installation</v>
      </c>
      <c r="D348" s="350"/>
      <c r="E348" s="350"/>
      <c r="F348" s="350"/>
      <c r="G348" s="347"/>
      <c r="H348" s="123" t="str">
        <f>_xlfn.CONCAT(_xlfn.XLOOKUP("[S05_DefaultValues][146][FuelMaterialType]",Submission!$O:$O,Submission!$H:$N,""))</f>
        <v>Vinylchloridmonomer</v>
      </c>
      <c r="I348" s="106" t="str">
        <f>_xlfn.CONCAT(_xlfn.XLOOKUP("[S05_DefaultValues][146][InstallationNumber]",Submission!$O:$O,Submission!$H:$N,""))</f>
        <v>2</v>
      </c>
    </row>
    <row r="349" spans="1:9" ht="15.9" hidden="1" customHeight="1" outlineLevel="1" x14ac:dyDescent="0.3">
      <c r="A349" s="13"/>
      <c r="B349" s="34"/>
      <c r="C349" s="281" t="str">
        <f>_xlfn.CONCAT(_xlfn.XLOOKUP("[S05_DefaultValues][147][InstallationCategory]",Submission!$O:$O,Submission!$H:$N,""))</f>
        <v>Category A installation</v>
      </c>
      <c r="D349" s="350"/>
      <c r="E349" s="350"/>
      <c r="F349" s="350"/>
      <c r="G349" s="347"/>
      <c r="H349" s="123" t="str">
        <f>_xlfn.CONCAT(_xlfn.XLOOKUP("[S05_DefaultValues][147][FuelMaterialType]",Submission!$O:$O,Submission!$H:$N,""))</f>
        <v>Vollwertkohle Deutschland</v>
      </c>
      <c r="I349" s="106" t="str">
        <f>_xlfn.CONCAT(_xlfn.XLOOKUP("[S05_DefaultValues][147][InstallationNumber]",Submission!$O:$O,Submission!$H:$N,""))</f>
        <v>1</v>
      </c>
    </row>
    <row r="350" spans="1:9" ht="15.9" hidden="1" customHeight="1" outlineLevel="1" x14ac:dyDescent="0.3">
      <c r="A350" s="13"/>
      <c r="B350" s="34"/>
      <c r="C350" s="281" t="str">
        <f>_xlfn.CONCAT(_xlfn.XLOOKUP("[S05_DefaultValues][148][InstallationCategory]",Submission!$O:$O,Submission!$H:$N,""))</f>
        <v>Category A installation</v>
      </c>
      <c r="D350" s="350"/>
      <c r="E350" s="350"/>
      <c r="F350" s="350"/>
      <c r="G350" s="347"/>
      <c r="H350" s="123" t="str">
        <f>_xlfn.CONCAT(_xlfn.XLOOKUP("[S05_DefaultValues][148][FuelMaterialType]",Submission!$O:$O,Submission!$H:$N,""))</f>
        <v>Vollwertkohle Import Kolumbien</v>
      </c>
      <c r="I350" s="106" t="str">
        <f>_xlfn.CONCAT(_xlfn.XLOOKUP("[S05_DefaultValues][148][InstallationNumber]",Submission!$O:$O,Submission!$H:$N,""))</f>
        <v>1</v>
      </c>
    </row>
    <row r="351" spans="1:9" ht="15.9" hidden="1" customHeight="1" outlineLevel="1" x14ac:dyDescent="0.3">
      <c r="A351" s="13"/>
      <c r="B351" s="34"/>
      <c r="C351" s="281" t="str">
        <f>_xlfn.CONCAT(_xlfn.XLOOKUP("[S05_DefaultValues][149][InstallationCategory]",Submission!$O:$O,Submission!$H:$N,""))</f>
        <v>Category A installation</v>
      </c>
      <c r="D351" s="350"/>
      <c r="E351" s="350"/>
      <c r="F351" s="350"/>
      <c r="G351" s="347"/>
      <c r="H351" s="123" t="str">
        <f>_xlfn.CONCAT(_xlfn.XLOOKUP("[S05_DefaultValues][149][FuelMaterialType]",Submission!$O:$O,Submission!$H:$N,""))</f>
        <v>Vollwertkohle Import Polen</v>
      </c>
      <c r="I351" s="106" t="str">
        <f>_xlfn.CONCAT(_xlfn.XLOOKUP("[S05_DefaultValues][149][InstallationNumber]",Submission!$O:$O,Submission!$H:$N,""))</f>
        <v>2</v>
      </c>
    </row>
    <row r="352" spans="1:9" ht="15.9" hidden="1" customHeight="1" outlineLevel="1" x14ac:dyDescent="0.3">
      <c r="A352" s="13"/>
      <c r="B352" s="34"/>
      <c r="C352" s="281" t="str">
        <f>_xlfn.CONCAT(_xlfn.XLOOKUP("[S05_DefaultValues][150][InstallationCategory]",Submission!$O:$O,Submission!$H:$N,""))</f>
        <v>Category A installation</v>
      </c>
      <c r="D352" s="350"/>
      <c r="E352" s="350"/>
      <c r="F352" s="350"/>
      <c r="G352" s="347"/>
      <c r="H352" s="123" t="str">
        <f>_xlfn.CONCAT(_xlfn.XLOOKUP("[S05_DefaultValues][150][FuelMaterialType]",Submission!$O:$O,Submission!$H:$N,""))</f>
        <v>Vollwertkohle Import Russland</v>
      </c>
      <c r="I352" s="106" t="str">
        <f>_xlfn.CONCAT(_xlfn.XLOOKUP("[S05_DefaultValues][150][InstallationNumber]",Submission!$O:$O,Submission!$H:$N,""))</f>
        <v>1</v>
      </c>
    </row>
    <row r="353" spans="1:9" ht="15.9" hidden="1" customHeight="1" outlineLevel="1" x14ac:dyDescent="0.3">
      <c r="A353" s="13"/>
      <c r="B353" s="34"/>
      <c r="C353" s="281" t="str">
        <f>_xlfn.CONCAT(_xlfn.XLOOKUP("[S05_DefaultValues][151][InstallationCategory]",Submission!$O:$O,Submission!$H:$N,""))</f>
        <v>Category A installation</v>
      </c>
      <c r="D353" s="350"/>
      <c r="E353" s="350"/>
      <c r="F353" s="350"/>
      <c r="G353" s="347"/>
      <c r="H353" s="123" t="str">
        <f>_xlfn.CONCAT(_xlfn.XLOOKUP("[S05_DefaultValues][151][FuelMaterialType]",Submission!$O:$O,Submission!$H:$N,""))</f>
        <v>Wasserstoff</v>
      </c>
      <c r="I353" s="106" t="str">
        <f>_xlfn.CONCAT(_xlfn.XLOOKUP("[S05_DefaultValues][151][InstallationNumber]",Submission!$O:$O,Submission!$H:$N,""))</f>
        <v>1</v>
      </c>
    </row>
    <row r="354" spans="1:9" ht="15.9" hidden="1" customHeight="1" outlineLevel="1" x14ac:dyDescent="0.3">
      <c r="A354" s="13"/>
      <c r="B354" s="34"/>
      <c r="C354" s="281" t="str">
        <f>_xlfn.CONCAT(_xlfn.XLOOKUP("[S05_DefaultValues][152][InstallationCategory]",Submission!$O:$O,Submission!$H:$N,""))</f>
        <v>Category A installation</v>
      </c>
      <c r="D354" s="350"/>
      <c r="E354" s="350"/>
      <c r="F354" s="350"/>
      <c r="G354" s="347"/>
      <c r="H354" s="123" t="str">
        <f>_xlfn.CONCAT(_xlfn.XLOOKUP("[S05_DefaultValues][152][FuelMaterialType]",Submission!$O:$O,Submission!$H:$N,""))</f>
        <v>zugekauftes Roheisen</v>
      </c>
      <c r="I354" s="106" t="str">
        <f>_xlfn.CONCAT(_xlfn.XLOOKUP("[S05_DefaultValues][152][InstallationNumber]",Submission!$O:$O,Submission!$H:$N,""))</f>
        <v>6</v>
      </c>
    </row>
    <row r="355" spans="1:9" ht="15.9" hidden="1" customHeight="1" outlineLevel="1" x14ac:dyDescent="0.3">
      <c r="A355" s="13"/>
      <c r="B355" s="34"/>
      <c r="C355" s="281" t="str">
        <f>_xlfn.CONCAT(_xlfn.XLOOKUP("[S05_DefaultValues][153][InstallationCategory]",Submission!$O:$O,Submission!$H:$N,""))</f>
        <v>Category B installation</v>
      </c>
      <c r="D355" s="350"/>
      <c r="E355" s="350"/>
      <c r="F355" s="350"/>
      <c r="G355" s="347"/>
      <c r="H355" s="123" t="str">
        <f>_xlfn.CONCAT(_xlfn.XLOOKUP("[S05_DefaultValues][153][FuelMaterialType]",Submission!$O:$O,Submission!$H:$N,""))</f>
        <v>Abfälle nach AVV 19 12 07</v>
      </c>
      <c r="I355" s="106" t="str">
        <f>_xlfn.CONCAT(_xlfn.XLOOKUP("[S05_DefaultValues][153][InstallationNumber]",Submission!$O:$O,Submission!$H:$N,""))</f>
        <v>1</v>
      </c>
    </row>
    <row r="356" spans="1:9" ht="15.9" hidden="1" customHeight="1" outlineLevel="1" x14ac:dyDescent="0.3">
      <c r="A356" s="13"/>
      <c r="B356" s="34"/>
      <c r="C356" s="281" t="str">
        <f>_xlfn.CONCAT(_xlfn.XLOOKUP("[S05_DefaultValues][154][InstallationCategory]",Submission!$O:$O,Submission!$H:$N,""))</f>
        <v>Category B installation</v>
      </c>
      <c r="D356" s="350"/>
      <c r="E356" s="350"/>
      <c r="F356" s="350"/>
      <c r="G356" s="347"/>
      <c r="H356" s="123" t="str">
        <f>_xlfn.CONCAT(_xlfn.XLOOKUP("[S05_DefaultValues][154][FuelMaterialType]",Submission!$O:$O,Submission!$H:$N,""))</f>
        <v>Acetaldehyd</v>
      </c>
      <c r="I356" s="106" t="str">
        <f>_xlfn.CONCAT(_xlfn.XLOOKUP("[S05_DefaultValues][154][InstallationNumber]",Submission!$O:$O,Submission!$H:$N,""))</f>
        <v>1</v>
      </c>
    </row>
    <row r="357" spans="1:9" ht="15.9" hidden="1" customHeight="1" outlineLevel="1" x14ac:dyDescent="0.3">
      <c r="A357" s="13"/>
      <c r="B357" s="34"/>
      <c r="C357" s="281" t="str">
        <f>_xlfn.CONCAT(_xlfn.XLOOKUP("[S05_DefaultValues][155][InstallationCategory]",Submission!$O:$O,Submission!$H:$N,""))</f>
        <v>Category B installation</v>
      </c>
      <c r="D357" s="350"/>
      <c r="E357" s="350"/>
      <c r="F357" s="350"/>
      <c r="G357" s="347"/>
      <c r="H357" s="123" t="str">
        <f>_xlfn.CONCAT(_xlfn.XLOOKUP("[S05_DefaultValues][155][FuelMaterialType]",Submission!$O:$O,Submission!$H:$N,""))</f>
        <v>Adipinsäure</v>
      </c>
      <c r="I357" s="106" t="str">
        <f>_xlfn.CONCAT(_xlfn.XLOOKUP("[S05_DefaultValues][155][InstallationNumber]",Submission!$O:$O,Submission!$H:$N,""))</f>
        <v>1</v>
      </c>
    </row>
    <row r="358" spans="1:9" ht="15.9" hidden="1" customHeight="1" outlineLevel="1" x14ac:dyDescent="0.3">
      <c r="A358" s="13"/>
      <c r="B358" s="34"/>
      <c r="C358" s="281" t="str">
        <f>_xlfn.CONCAT(_xlfn.XLOOKUP("[S05_DefaultValues][156][InstallationCategory]",Submission!$O:$O,Submission!$H:$N,""))</f>
        <v>Category B installation</v>
      </c>
      <c r="D358" s="350"/>
      <c r="E358" s="350"/>
      <c r="F358" s="350"/>
      <c r="G358" s="347"/>
      <c r="H358" s="123" t="str">
        <f>_xlfn.CONCAT(_xlfn.XLOOKUP("[S05_DefaultValues][156][FuelMaterialType]",Submission!$O:$O,Submission!$H:$N,""))</f>
        <v>Alkine</v>
      </c>
      <c r="I358" s="106" t="str">
        <f>_xlfn.CONCAT(_xlfn.XLOOKUP("[S05_DefaultValues][156][InstallationNumber]",Submission!$O:$O,Submission!$H:$N,""))</f>
        <v>1</v>
      </c>
    </row>
    <row r="359" spans="1:9" ht="15.9" hidden="1" customHeight="1" outlineLevel="1" x14ac:dyDescent="0.3">
      <c r="A359" s="13"/>
      <c r="B359" s="34"/>
      <c r="C359" s="281" t="str">
        <f>_xlfn.CONCAT(_xlfn.XLOOKUP("[S05_DefaultValues][157][InstallationCategory]",Submission!$O:$O,Submission!$H:$N,""))</f>
        <v>Category B installation</v>
      </c>
      <c r="D359" s="350"/>
      <c r="E359" s="350"/>
      <c r="F359" s="350"/>
      <c r="G359" s="347"/>
      <c r="H359" s="123" t="str">
        <f>_xlfn.CONCAT(_xlfn.XLOOKUP("[S05_DefaultValues][157][FuelMaterialType]",Submission!$O:$O,Submission!$H:$N,""))</f>
        <v>Altreifen</v>
      </c>
      <c r="I359" s="106" t="str">
        <f>_xlfn.CONCAT(_xlfn.XLOOKUP("[S05_DefaultValues][157][InstallationNumber]",Submission!$O:$O,Submission!$H:$N,""))</f>
        <v>2</v>
      </c>
    </row>
    <row r="360" spans="1:9" ht="15.9" hidden="1" customHeight="1" outlineLevel="1" x14ac:dyDescent="0.3">
      <c r="A360" s="13"/>
      <c r="B360" s="34"/>
      <c r="C360" s="281" t="str">
        <f>_xlfn.CONCAT(_xlfn.XLOOKUP("[S05_DefaultValues][158][InstallationCategory]",Submission!$O:$O,Submission!$H:$N,""))</f>
        <v>Category B installation</v>
      </c>
      <c r="D360" s="350"/>
      <c r="E360" s="350"/>
      <c r="F360" s="350"/>
      <c r="G360" s="347"/>
      <c r="H360" s="123" t="str">
        <f>_xlfn.CONCAT(_xlfn.XLOOKUP("[S05_DefaultValues][158][FuelMaterialType]",Submission!$O:$O,Submission!$H:$N,""))</f>
        <v>Andere Mineralölprodukte in [t]</v>
      </c>
      <c r="I360" s="106" t="str">
        <f>_xlfn.CONCAT(_xlfn.XLOOKUP("[S05_DefaultValues][158][InstallationNumber]",Submission!$O:$O,Submission!$H:$N,""))</f>
        <v>1</v>
      </c>
    </row>
    <row r="361" spans="1:9" ht="15.9" hidden="1" customHeight="1" outlineLevel="1" x14ac:dyDescent="0.3">
      <c r="A361" s="13"/>
      <c r="B361" s="34"/>
      <c r="C361" s="281" t="str">
        <f>_xlfn.CONCAT(_xlfn.XLOOKUP("[S05_DefaultValues][159][InstallationCategory]",Submission!$O:$O,Submission!$H:$N,""))</f>
        <v>Category B installation</v>
      </c>
      <c r="D361" s="350"/>
      <c r="E361" s="350"/>
      <c r="F361" s="350"/>
      <c r="G361" s="347"/>
      <c r="H361" s="123" t="str">
        <f>_xlfn.CONCAT(_xlfn.XLOOKUP("[S05_DefaultValues][159][FuelMaterialType]",Submission!$O:$O,Submission!$H:$N,""))</f>
        <v>Anthrazit (Wärmeerzeugung)</v>
      </c>
      <c r="I361" s="106" t="str">
        <f>_xlfn.CONCAT(_xlfn.XLOOKUP("[S05_DefaultValues][159][InstallationNumber]",Submission!$O:$O,Submission!$H:$N,""))</f>
        <v>4</v>
      </c>
    </row>
    <row r="362" spans="1:9" ht="15.9" hidden="1" customHeight="1" outlineLevel="1" x14ac:dyDescent="0.3">
      <c r="A362" s="13"/>
      <c r="B362" s="34"/>
      <c r="C362" s="281" t="str">
        <f>_xlfn.CONCAT(_xlfn.XLOOKUP("[S05_DefaultValues][160][InstallationCategory]",Submission!$O:$O,Submission!$H:$N,""))</f>
        <v>Category B installation</v>
      </c>
      <c r="D362" s="350"/>
      <c r="E362" s="350"/>
      <c r="F362" s="350"/>
      <c r="G362" s="347"/>
      <c r="H362" s="123" t="str">
        <f>_xlfn.CONCAT(_xlfn.XLOOKUP("[S05_DefaultValues][160][FuelMaterialType]",Submission!$O:$O,Submission!$H:$N,""))</f>
        <v>Aromaten (auch alkylierte)</v>
      </c>
      <c r="I362" s="106" t="str">
        <f>_xlfn.CONCAT(_xlfn.XLOOKUP("[S05_DefaultValues][160][InstallationNumber]",Submission!$O:$O,Submission!$H:$N,""))</f>
        <v>1</v>
      </c>
    </row>
    <row r="363" spans="1:9" ht="15.9" hidden="1" customHeight="1" outlineLevel="1" x14ac:dyDescent="0.3">
      <c r="A363" s="13"/>
      <c r="B363" s="34"/>
      <c r="C363" s="281" t="str">
        <f>_xlfn.CONCAT(_xlfn.XLOOKUP("[S05_DefaultValues][161][InstallationCategory]",Submission!$O:$O,Submission!$H:$N,""))</f>
        <v>Category B installation</v>
      </c>
      <c r="D363" s="350"/>
      <c r="E363" s="350"/>
      <c r="F363" s="350"/>
      <c r="G363" s="347"/>
      <c r="H363" s="123" t="str">
        <f>_xlfn.CONCAT(_xlfn.XLOOKUP("[S05_DefaultValues][161][FuelMaterialType]",Submission!$O:$O,Submission!$H:$N,""))</f>
        <v>BaCO3</v>
      </c>
      <c r="I363" s="106" t="str">
        <f>_xlfn.CONCAT(_xlfn.XLOOKUP("[S05_DefaultValues][161][InstallationNumber]",Submission!$O:$O,Submission!$H:$N,""))</f>
        <v>1</v>
      </c>
    </row>
    <row r="364" spans="1:9" ht="15.9" hidden="1" customHeight="1" outlineLevel="1" x14ac:dyDescent="0.3">
      <c r="A364" s="13"/>
      <c r="B364" s="34"/>
      <c r="C364" s="281" t="str">
        <f>_xlfn.CONCAT(_xlfn.XLOOKUP("[S05_DefaultValues][162][InstallationCategory]",Submission!$O:$O,Submission!$H:$N,""))</f>
        <v>Category B installation</v>
      </c>
      <c r="D364" s="350"/>
      <c r="E364" s="350"/>
      <c r="F364" s="350"/>
      <c r="G364" s="347"/>
      <c r="H364" s="123" t="str">
        <f>_xlfn.CONCAT(_xlfn.XLOOKUP("[S05_DefaultValues][162][FuelMaterialType]",Submission!$O:$O,Submission!$H:$N,""))</f>
        <v>Biomasse-Brennstoff, Brennholz</v>
      </c>
      <c r="I364" s="106" t="str">
        <f>_xlfn.CONCAT(_xlfn.XLOOKUP("[S05_DefaultValues][162][InstallationNumber]",Submission!$O:$O,Submission!$H:$N,""))</f>
        <v>7</v>
      </c>
    </row>
    <row r="365" spans="1:9" ht="15.9" hidden="1" customHeight="1" outlineLevel="1" x14ac:dyDescent="0.3">
      <c r="A365" s="13"/>
      <c r="B365" s="34"/>
      <c r="C365" s="281" t="str">
        <f>_xlfn.CONCAT(_xlfn.XLOOKUP("[S05_DefaultValues][163][InstallationCategory]",Submission!$O:$O,Submission!$H:$N,""))</f>
        <v>Category B installation</v>
      </c>
      <c r="D365" s="350"/>
      <c r="E365" s="350"/>
      <c r="F365" s="350"/>
      <c r="G365" s="347"/>
      <c r="H365" s="123" t="str">
        <f>_xlfn.CONCAT(_xlfn.XLOOKUP("[S05_DefaultValues][163][FuelMaterialType]",Submission!$O:$O,Submission!$H:$N,""))</f>
        <v>Biomasse-Brennstoff, Klärgas</v>
      </c>
      <c r="I365" s="106" t="str">
        <f>_xlfn.CONCAT(_xlfn.XLOOKUP("[S05_DefaultValues][163][InstallationNumber]",Submission!$O:$O,Submission!$H:$N,""))</f>
        <v>1</v>
      </c>
    </row>
    <row r="366" spans="1:9" ht="15.9" hidden="1" customHeight="1" outlineLevel="1" x14ac:dyDescent="0.3">
      <c r="A366" s="13"/>
      <c r="B366" s="34"/>
      <c r="C366" s="281" t="str">
        <f>_xlfn.CONCAT(_xlfn.XLOOKUP("[S05_DefaultValues][164][InstallationCategory]",Submission!$O:$O,Submission!$H:$N,""))</f>
        <v>Category B installation</v>
      </c>
      <c r="D366" s="350"/>
      <c r="E366" s="350"/>
      <c r="F366" s="350"/>
      <c r="G366" s="347"/>
      <c r="H366" s="123" t="str">
        <f>_xlfn.CONCAT(_xlfn.XLOOKUP("[S05_DefaultValues][164][FuelMaterialType]",Submission!$O:$O,Submission!$H:$N,""))</f>
        <v>Biomasse-Brennstoff, Sonstige feste</v>
      </c>
      <c r="I366" s="106" t="str">
        <f>_xlfn.CONCAT(_xlfn.XLOOKUP("[S05_DefaultValues][164][InstallationNumber]",Submission!$O:$O,Submission!$H:$N,""))</f>
        <v>1</v>
      </c>
    </row>
    <row r="367" spans="1:9" ht="15.9" hidden="1" customHeight="1" outlineLevel="1" x14ac:dyDescent="0.3">
      <c r="A367" s="13"/>
      <c r="B367" s="34"/>
      <c r="C367" s="281" t="str">
        <f>_xlfn.CONCAT(_xlfn.XLOOKUP("[S05_DefaultValues][165][InstallationCategory]",Submission!$O:$O,Submission!$H:$N,""))</f>
        <v>Category B installation</v>
      </c>
      <c r="D367" s="350"/>
      <c r="E367" s="350"/>
      <c r="F367" s="350"/>
      <c r="G367" s="347"/>
      <c r="H367" s="123" t="str">
        <f>_xlfn.CONCAT(_xlfn.XLOOKUP("[S05_DefaultValues][165][FuelMaterialType]",Submission!$O:$O,Submission!$H:$N,""))</f>
        <v>Biomasse-Brennstoff, Sonstige in [1000 Nm³]</v>
      </c>
      <c r="I367" s="106" t="str">
        <f>_xlfn.CONCAT(_xlfn.XLOOKUP("[S05_DefaultValues][165][InstallationNumber]",Submission!$O:$O,Submission!$H:$N,""))</f>
        <v>4</v>
      </c>
    </row>
    <row r="368" spans="1:9" ht="15.9" hidden="1" customHeight="1" outlineLevel="1" x14ac:dyDescent="0.3">
      <c r="A368" s="13"/>
      <c r="B368" s="34"/>
      <c r="C368" s="281" t="str">
        <f>_xlfn.CONCAT(_xlfn.XLOOKUP("[S05_DefaultValues][166][InstallationCategory]",Submission!$O:$O,Submission!$H:$N,""))</f>
        <v>Category B installation</v>
      </c>
      <c r="D368" s="350"/>
      <c r="E368" s="350"/>
      <c r="F368" s="350"/>
      <c r="G368" s="347"/>
      <c r="H368" s="123" t="str">
        <f>_xlfn.CONCAT(_xlfn.XLOOKUP("[S05_DefaultValues][166][FuelMaterialType]",Submission!$O:$O,Submission!$H:$N,""))</f>
        <v>Biomasse-Brennstoff, Sonstiges Biogas</v>
      </c>
      <c r="I368" s="106" t="str">
        <f>_xlfn.CONCAT(_xlfn.XLOOKUP("[S05_DefaultValues][166][InstallationNumber]",Submission!$O:$O,Submission!$H:$N,""))</f>
        <v>1</v>
      </c>
    </row>
    <row r="369" spans="1:9" ht="15.9" hidden="1" customHeight="1" outlineLevel="1" x14ac:dyDescent="0.3">
      <c r="A369" s="13"/>
      <c r="B369" s="34"/>
      <c r="C369" s="281" t="str">
        <f>_xlfn.CONCAT(_xlfn.XLOOKUP("[S05_DefaultValues][167][InstallationCategory]",Submission!$O:$O,Submission!$H:$N,""))</f>
        <v>Category B installation</v>
      </c>
      <c r="D369" s="350"/>
      <c r="E369" s="350"/>
      <c r="F369" s="350"/>
      <c r="G369" s="347"/>
      <c r="H369" s="123" t="str">
        <f>_xlfn.CONCAT(_xlfn.XLOOKUP("[S05_DefaultValues][167][FuelMaterialType]",Submission!$O:$O,Submission!$H:$N,""))</f>
        <v>Ca(OH)2</v>
      </c>
      <c r="I369" s="106" t="str">
        <f>_xlfn.CONCAT(_xlfn.XLOOKUP("[S05_DefaultValues][167][InstallationNumber]",Submission!$O:$O,Submission!$H:$N,""))</f>
        <v>3</v>
      </c>
    </row>
    <row r="370" spans="1:9" ht="15.9" hidden="1" customHeight="1" outlineLevel="1" x14ac:dyDescent="0.3">
      <c r="A370" s="13"/>
      <c r="B370" s="34"/>
      <c r="C370" s="281" t="str">
        <f>_xlfn.CONCAT(_xlfn.XLOOKUP("[S05_DefaultValues][168][InstallationCategory]",Submission!$O:$O,Submission!$H:$N,""))</f>
        <v>Category B installation</v>
      </c>
      <c r="D370" s="350"/>
      <c r="E370" s="350"/>
      <c r="F370" s="350"/>
      <c r="G370" s="347"/>
      <c r="H370" s="123" t="str">
        <f>_xlfn.CONCAT(_xlfn.XLOOKUP("[S05_DefaultValues][168][FuelMaterialType]",Submission!$O:$O,Submission!$H:$N,""))</f>
        <v>CaCO3</v>
      </c>
      <c r="I370" s="106" t="str">
        <f>_xlfn.CONCAT(_xlfn.XLOOKUP("[S05_DefaultValues][168][InstallationNumber]",Submission!$O:$O,Submission!$H:$N,""))</f>
        <v>26</v>
      </c>
    </row>
    <row r="371" spans="1:9" ht="15.9" hidden="1" customHeight="1" outlineLevel="1" x14ac:dyDescent="0.3">
      <c r="A371" s="13"/>
      <c r="B371" s="34"/>
      <c r="C371" s="281" t="str">
        <f>_xlfn.CONCAT(_xlfn.XLOOKUP("[S05_DefaultValues][169][InstallationCategory]",Submission!$O:$O,Submission!$H:$N,""))</f>
        <v>Category B installation</v>
      </c>
      <c r="D371" s="350"/>
      <c r="E371" s="350"/>
      <c r="F371" s="350"/>
      <c r="G371" s="347"/>
      <c r="H371" s="123" t="str">
        <f>_xlfn.CONCAT(_xlfn.XLOOKUP("[S05_DefaultValues][169][FuelMaterialType]",Submission!$O:$O,Submission!$H:$N,""))</f>
        <v>CaO</v>
      </c>
      <c r="I371" s="106" t="str">
        <f>_xlfn.CONCAT(_xlfn.XLOOKUP("[S05_DefaultValues][169][InstallationNumber]",Submission!$O:$O,Submission!$H:$N,""))</f>
        <v>3</v>
      </c>
    </row>
    <row r="372" spans="1:9" ht="15.9" hidden="1" customHeight="1" outlineLevel="1" x14ac:dyDescent="0.3">
      <c r="A372" s="13"/>
      <c r="B372" s="34"/>
      <c r="C372" s="281" t="str">
        <f>_xlfn.CONCAT(_xlfn.XLOOKUP("[S05_DefaultValues][170][InstallationCategory]",Submission!$O:$O,Submission!$H:$N,""))</f>
        <v>Category B installation</v>
      </c>
      <c r="D372" s="350"/>
      <c r="E372" s="350"/>
      <c r="F372" s="350"/>
      <c r="G372" s="347"/>
      <c r="H372" s="123" t="str">
        <f>_xlfn.CONCAT(_xlfn.XLOOKUP("[S05_DefaultValues][170][FuelMaterialType]",Submission!$O:$O,Submission!$H:$N,""))</f>
        <v>Carbonsäuren, Dicarbonsäuren, Carbonsäureanhydride</v>
      </c>
      <c r="I372" s="106" t="str">
        <f>_xlfn.CONCAT(_xlfn.XLOOKUP("[S05_DefaultValues][170][InstallationNumber]",Submission!$O:$O,Submission!$H:$N,""))</f>
        <v>1</v>
      </c>
    </row>
    <row r="373" spans="1:9" ht="15.9" hidden="1" customHeight="1" outlineLevel="1" x14ac:dyDescent="0.3">
      <c r="A373" s="13"/>
      <c r="B373" s="34"/>
      <c r="C373" s="281" t="str">
        <f>_xlfn.CONCAT(_xlfn.XLOOKUP("[S05_DefaultValues][171][InstallationCategory]",Submission!$O:$O,Submission!$H:$N,""))</f>
        <v>Category B installation</v>
      </c>
      <c r="D373" s="350"/>
      <c r="E373" s="350"/>
      <c r="F373" s="350"/>
      <c r="G373" s="347"/>
      <c r="H373" s="123" t="str">
        <f>_xlfn.CONCAT(_xlfn.XLOOKUP("[S05_DefaultValues][171][FuelMaterialType]",Submission!$O:$O,Submission!$H:$N,""))</f>
        <v>Claus-Einsatzgas in [t]</v>
      </c>
      <c r="I373" s="106" t="str">
        <f>_xlfn.CONCAT(_xlfn.XLOOKUP("[S05_DefaultValues][171][InstallationNumber]",Submission!$O:$O,Submission!$H:$N,""))</f>
        <v>1</v>
      </c>
    </row>
    <row r="374" spans="1:9" ht="15.9" hidden="1" customHeight="1" outlineLevel="1" x14ac:dyDescent="0.3">
      <c r="A374" s="13"/>
      <c r="B374" s="34"/>
      <c r="C374" s="281" t="str">
        <f>_xlfn.CONCAT(_xlfn.XLOOKUP("[S05_DefaultValues][172][InstallationCategory]",Submission!$O:$O,Submission!$H:$N,""))</f>
        <v>Category B installation</v>
      </c>
      <c r="D374" s="350"/>
      <c r="E374" s="350"/>
      <c r="F374" s="350"/>
      <c r="G374" s="347"/>
      <c r="H374" s="123" t="str">
        <f>_xlfn.CONCAT(_xlfn.XLOOKUP("[S05_DefaultValues][172][FuelMaterialType]",Submission!$O:$O,Submission!$H:$N,""))</f>
        <v>Cyclohexanol</v>
      </c>
      <c r="I374" s="106" t="str">
        <f>_xlfn.CONCAT(_xlfn.XLOOKUP("[S05_DefaultValues][172][InstallationNumber]",Submission!$O:$O,Submission!$H:$N,""))</f>
        <v>1</v>
      </c>
    </row>
    <row r="375" spans="1:9" ht="15.9" hidden="1" customHeight="1" outlineLevel="1" x14ac:dyDescent="0.3">
      <c r="A375" s="13"/>
      <c r="B375" s="34"/>
      <c r="C375" s="281" t="str">
        <f>_xlfn.CONCAT(_xlfn.XLOOKUP("[S05_DefaultValues][173][InstallationCategory]",Submission!$O:$O,Submission!$H:$N,""))</f>
        <v>Category B installation</v>
      </c>
      <c r="D375" s="350"/>
      <c r="E375" s="350"/>
      <c r="F375" s="350"/>
      <c r="G375" s="347"/>
      <c r="H375" s="123" t="str">
        <f>_xlfn.CONCAT(_xlfn.XLOOKUP("[S05_DefaultValues][173][FuelMaterialType]",Submission!$O:$O,Submission!$H:$N,""))</f>
        <v>Cyclohexanon</v>
      </c>
      <c r="I375" s="106" t="str">
        <f>_xlfn.CONCAT(_xlfn.XLOOKUP("[S05_DefaultValues][173][InstallationNumber]",Submission!$O:$O,Submission!$H:$N,""))</f>
        <v>1</v>
      </c>
    </row>
    <row r="376" spans="1:9" ht="15.9" hidden="1" customHeight="1" outlineLevel="1" x14ac:dyDescent="0.3">
      <c r="A376" s="13"/>
      <c r="B376" s="34"/>
      <c r="C376" s="281" t="str">
        <f>_xlfn.CONCAT(_xlfn.XLOOKUP("[S05_DefaultValues][174][InstallationCategory]",Submission!$O:$O,Submission!$H:$N,""))</f>
        <v>Category B installation</v>
      </c>
      <c r="D376" s="350"/>
      <c r="E376" s="350"/>
      <c r="F376" s="350"/>
      <c r="G376" s="347"/>
      <c r="H376" s="123" t="str">
        <f>_xlfn.CONCAT(_xlfn.XLOOKUP("[S05_DefaultValues][174][FuelMaterialType]",Submission!$O:$O,Submission!$H:$N,""))</f>
        <v>Dieselkraftstoff</v>
      </c>
      <c r="I376" s="106" t="str">
        <f>_xlfn.CONCAT(_xlfn.XLOOKUP("[S05_DefaultValues][174][InstallationNumber]",Submission!$O:$O,Submission!$H:$N,""))</f>
        <v>108</v>
      </c>
    </row>
    <row r="377" spans="1:9" ht="15.9" hidden="1" customHeight="1" outlineLevel="1" x14ac:dyDescent="0.3">
      <c r="A377" s="13"/>
      <c r="B377" s="34"/>
      <c r="C377" s="281" t="str">
        <f>_xlfn.CONCAT(_xlfn.XLOOKUP("[S05_DefaultValues][175][InstallationCategory]",Submission!$O:$O,Submission!$H:$N,""))</f>
        <v>Category B installation</v>
      </c>
      <c r="D377" s="350"/>
      <c r="E377" s="350"/>
      <c r="F377" s="350"/>
      <c r="G377" s="347"/>
      <c r="H377" s="123" t="str">
        <f>_xlfn.CONCAT(_xlfn.XLOOKUP("[S05_DefaultValues][175][FuelMaterialType]",Submission!$O:$O,Submission!$H:$N,""))</f>
        <v>Dolomit</v>
      </c>
      <c r="I377" s="106" t="str">
        <f>_xlfn.CONCAT(_xlfn.XLOOKUP("[S05_DefaultValues][175][InstallationNumber]",Submission!$O:$O,Submission!$H:$N,""))</f>
        <v>1</v>
      </c>
    </row>
    <row r="378" spans="1:9" ht="15.9" hidden="1" customHeight="1" outlineLevel="1" x14ac:dyDescent="0.3">
      <c r="A378" s="13"/>
      <c r="B378" s="34"/>
      <c r="C378" s="281" t="str">
        <f>_xlfn.CONCAT(_xlfn.XLOOKUP("[S05_DefaultValues][176][InstallationCategory]",Submission!$O:$O,Submission!$H:$N,""))</f>
        <v>Category B installation</v>
      </c>
      <c r="D378" s="350"/>
      <c r="E378" s="350"/>
      <c r="F378" s="350"/>
      <c r="G378" s="347"/>
      <c r="H378" s="123" t="str">
        <f>_xlfn.CONCAT(_xlfn.XLOOKUP("[S05_DefaultValues][176][FuelMaterialType]",Submission!$O:$O,Submission!$H:$N,""))</f>
        <v>Eisenschrott</v>
      </c>
      <c r="I378" s="106" t="str">
        <f>_xlfn.CONCAT(_xlfn.XLOOKUP("[S05_DefaultValues][176][InstallationNumber]",Submission!$O:$O,Submission!$H:$N,""))</f>
        <v>2</v>
      </c>
    </row>
    <row r="379" spans="1:9" ht="15.9" hidden="1" customHeight="1" outlineLevel="1" x14ac:dyDescent="0.3">
      <c r="A379" s="13"/>
      <c r="B379" s="34"/>
      <c r="C379" s="281" t="str">
        <f>_xlfn.CONCAT(_xlfn.XLOOKUP("[S05_DefaultValues][177][InstallationCategory]",Submission!$O:$O,Submission!$H:$N,""))</f>
        <v>Category B installation</v>
      </c>
      <c r="D379" s="350"/>
      <c r="E379" s="350"/>
      <c r="F379" s="350"/>
      <c r="G379" s="347"/>
      <c r="H379" s="123" t="str">
        <f>_xlfn.CONCAT(_xlfn.XLOOKUP("[S05_DefaultValues][177][FuelMaterialType]",Submission!$O:$O,Submission!$H:$N,""))</f>
        <v>Eisenschwamm</v>
      </c>
      <c r="I379" s="106" t="str">
        <f>_xlfn.CONCAT(_xlfn.XLOOKUP("[S05_DefaultValues][177][InstallationNumber]",Submission!$O:$O,Submission!$H:$N,""))</f>
        <v>2</v>
      </c>
    </row>
    <row r="380" spans="1:9" ht="15.9" hidden="1" customHeight="1" outlineLevel="1" x14ac:dyDescent="0.3">
      <c r="A380" s="13"/>
      <c r="B380" s="34"/>
      <c r="C380" s="281" t="str">
        <f>_xlfn.CONCAT(_xlfn.XLOOKUP("[S05_DefaultValues][178][InstallationCategory]",Submission!$O:$O,Submission!$H:$N,""))</f>
        <v>Category B installation</v>
      </c>
      <c r="D380" s="350"/>
      <c r="E380" s="350"/>
      <c r="F380" s="350"/>
      <c r="G380" s="347"/>
      <c r="H380" s="123" t="str">
        <f>_xlfn.CONCAT(_xlfn.XLOOKUP("[S05_DefaultValues][178][FuelMaterialType]",Submission!$O:$O,Submission!$H:$N,""))</f>
        <v>Elektrodenabbrand/Anodenmaterial</v>
      </c>
      <c r="I380" s="106" t="str">
        <f>_xlfn.CONCAT(_xlfn.XLOOKUP("[S05_DefaultValues][178][InstallationNumber]",Submission!$O:$O,Submission!$H:$N,""))</f>
        <v>4</v>
      </c>
    </row>
    <row r="381" spans="1:9" ht="15.9" hidden="1" customHeight="1" outlineLevel="1" x14ac:dyDescent="0.3">
      <c r="A381" s="13"/>
      <c r="B381" s="34"/>
      <c r="C381" s="281" t="str">
        <f>_xlfn.CONCAT(_xlfn.XLOOKUP("[S05_DefaultValues][179][InstallationCategory]",Submission!$O:$O,Submission!$H:$N,""))</f>
        <v>Category B installation</v>
      </c>
      <c r="D381" s="350"/>
      <c r="E381" s="350"/>
      <c r="F381" s="350"/>
      <c r="G381" s="347"/>
      <c r="H381" s="123" t="str">
        <f>_xlfn.CONCAT(_xlfn.XLOOKUP("[S05_DefaultValues][179][FuelMaterialType]",Submission!$O:$O,Submission!$H:$N,""))</f>
        <v>Erdgas H</v>
      </c>
      <c r="I381" s="106" t="str">
        <f>_xlfn.CONCAT(_xlfn.XLOOKUP("[S05_DefaultValues][179][InstallationNumber]",Submission!$O:$O,Submission!$H:$N,""))</f>
        <v>26</v>
      </c>
    </row>
    <row r="382" spans="1:9" ht="15.9" hidden="1" customHeight="1" outlineLevel="1" x14ac:dyDescent="0.3">
      <c r="A382" s="13"/>
      <c r="B382" s="34"/>
      <c r="C382" s="281" t="str">
        <f>_xlfn.CONCAT(_xlfn.XLOOKUP("[S05_DefaultValues][180][InstallationCategory]",Submission!$O:$O,Submission!$H:$N,""))</f>
        <v>Category B installation</v>
      </c>
      <c r="D382" s="350"/>
      <c r="E382" s="350"/>
      <c r="F382" s="350"/>
      <c r="G382" s="347"/>
      <c r="H382" s="123" t="str">
        <f>_xlfn.CONCAT(_xlfn.XLOOKUP("[S05_DefaultValues][180][FuelMaterialType]",Submission!$O:$O,Submission!$H:$N,""))</f>
        <v>Erdgas L</v>
      </c>
      <c r="I382" s="106" t="str">
        <f>_xlfn.CONCAT(_xlfn.XLOOKUP("[S05_DefaultValues][180][InstallationNumber]",Submission!$O:$O,Submission!$H:$N,""))</f>
        <v>4</v>
      </c>
    </row>
    <row r="383" spans="1:9" ht="15.9" hidden="1" customHeight="1" outlineLevel="1" x14ac:dyDescent="0.3">
      <c r="A383" s="13"/>
      <c r="B383" s="34"/>
      <c r="C383" s="281" t="str">
        <f>_xlfn.CONCAT(_xlfn.XLOOKUP("[S05_DefaultValues][181][InstallationCategory]",Submission!$O:$O,Submission!$H:$N,""))</f>
        <v>Category B installation</v>
      </c>
      <c r="D383" s="350"/>
      <c r="E383" s="350"/>
      <c r="F383" s="350"/>
      <c r="G383" s="347"/>
      <c r="H383" s="123" t="str">
        <f>_xlfn.CONCAT(_xlfn.XLOOKUP("[S05_DefaultValues][181][FuelMaterialType]",Submission!$O:$O,Submission!$H:$N,""))</f>
        <v>Ersatzwert für Festbrennstoff</v>
      </c>
      <c r="I383" s="106" t="str">
        <f>_xlfn.CONCAT(_xlfn.XLOOKUP("[S05_DefaultValues][181][InstallationNumber]",Submission!$O:$O,Submission!$H:$N,""))</f>
        <v>2</v>
      </c>
    </row>
    <row r="384" spans="1:9" ht="15.9" hidden="1" customHeight="1" outlineLevel="1" x14ac:dyDescent="0.3">
      <c r="A384" s="13"/>
      <c r="B384" s="34"/>
      <c r="C384" s="281" t="str">
        <f>_xlfn.CONCAT(_xlfn.XLOOKUP("[S05_DefaultValues][182][InstallationCategory]",Submission!$O:$O,Submission!$H:$N,""))</f>
        <v>Category B installation</v>
      </c>
      <c r="D384" s="350"/>
      <c r="E384" s="350"/>
      <c r="F384" s="350"/>
      <c r="G384" s="347"/>
      <c r="H384" s="123" t="str">
        <f>_xlfn.CONCAT(_xlfn.XLOOKUP("[S05_DefaultValues][182][FuelMaterialType]",Submission!$O:$O,Submission!$H:$N,""))</f>
        <v>Ersatzwert für feste Produkte</v>
      </c>
      <c r="I384" s="106" t="str">
        <f>_xlfn.CONCAT(_xlfn.XLOOKUP("[S05_DefaultValues][182][InstallationNumber]",Submission!$O:$O,Submission!$H:$N,""))</f>
        <v>6</v>
      </c>
    </row>
    <row r="385" spans="1:9" ht="15.9" hidden="1" customHeight="1" outlineLevel="1" x14ac:dyDescent="0.3">
      <c r="A385" s="13"/>
      <c r="B385" s="34"/>
      <c r="C385" s="281" t="str">
        <f>_xlfn.CONCAT(_xlfn.XLOOKUP("[S05_DefaultValues][183][InstallationCategory]",Submission!$O:$O,Submission!$H:$N,""))</f>
        <v>Category B installation</v>
      </c>
      <c r="D385" s="350"/>
      <c r="E385" s="350"/>
      <c r="F385" s="350"/>
      <c r="G385" s="347"/>
      <c r="H385" s="123" t="str">
        <f>_xlfn.CONCAT(_xlfn.XLOOKUP("[S05_DefaultValues][183][FuelMaterialType]",Submission!$O:$O,Submission!$H:$N,""))</f>
        <v>Ersatzwert für feste Stoffe</v>
      </c>
      <c r="I385" s="106" t="str">
        <f>_xlfn.CONCAT(_xlfn.XLOOKUP("[S05_DefaultValues][183][InstallationNumber]",Submission!$O:$O,Submission!$H:$N,""))</f>
        <v>13</v>
      </c>
    </row>
    <row r="386" spans="1:9" ht="15.9" hidden="1" customHeight="1" outlineLevel="1" x14ac:dyDescent="0.3">
      <c r="A386" s="13"/>
      <c r="B386" s="34"/>
      <c r="C386" s="281" t="str">
        <f>_xlfn.CONCAT(_xlfn.XLOOKUP("[S05_DefaultValues][184][InstallationCategory]",Submission!$O:$O,Submission!$H:$N,""))</f>
        <v>Category B installation</v>
      </c>
      <c r="D386" s="350"/>
      <c r="E386" s="350"/>
      <c r="F386" s="350"/>
      <c r="G386" s="347"/>
      <c r="H386" s="123" t="str">
        <f>_xlfn.CONCAT(_xlfn.XLOOKUP("[S05_DefaultValues][184][FuelMaterialType]",Submission!$O:$O,Submission!$H:$N,""))</f>
        <v>Ersatzwert für flüssige Stoffe</v>
      </c>
      <c r="I386" s="106" t="str">
        <f>_xlfn.CONCAT(_xlfn.XLOOKUP("[S05_DefaultValues][184][InstallationNumber]",Submission!$O:$O,Submission!$H:$N,""))</f>
        <v>12</v>
      </c>
    </row>
    <row r="387" spans="1:9" ht="15.9" hidden="1" customHeight="1" outlineLevel="1" x14ac:dyDescent="0.3">
      <c r="A387" s="13"/>
      <c r="B387" s="34"/>
      <c r="C387" s="281" t="str">
        <f>_xlfn.CONCAT(_xlfn.XLOOKUP("[S05_DefaultValues][185][InstallationCategory]",Submission!$O:$O,Submission!$H:$N,""))</f>
        <v>Category B installation</v>
      </c>
      <c r="D387" s="350"/>
      <c r="E387" s="350"/>
      <c r="F387" s="350"/>
      <c r="G387" s="347"/>
      <c r="H387" s="123" t="str">
        <f>_xlfn.CONCAT(_xlfn.XLOOKUP("[S05_DefaultValues][185][FuelMaterialType]",Submission!$O:$O,Submission!$H:$N,""))</f>
        <v>Ersatzwert für gasförmige Stoffe</v>
      </c>
      <c r="I387" s="106" t="str">
        <f>_xlfn.CONCAT(_xlfn.XLOOKUP("[S05_DefaultValues][185][InstallationNumber]",Submission!$O:$O,Submission!$H:$N,""))</f>
        <v>4</v>
      </c>
    </row>
    <row r="388" spans="1:9" ht="15.9" hidden="1" customHeight="1" outlineLevel="1" x14ac:dyDescent="0.3">
      <c r="A388" s="13"/>
      <c r="B388" s="34"/>
      <c r="C388" s="281" t="str">
        <f>_xlfn.CONCAT(_xlfn.XLOOKUP("[S05_DefaultValues][186][InstallationCategory]",Submission!$O:$O,Submission!$H:$N,""))</f>
        <v>Category B installation</v>
      </c>
      <c r="D388" s="350"/>
      <c r="E388" s="350"/>
      <c r="F388" s="350"/>
      <c r="G388" s="347"/>
      <c r="H388" s="123" t="str">
        <f>_xlfn.CONCAT(_xlfn.XLOOKUP("[S05_DefaultValues][186][FuelMaterialType]",Submission!$O:$O,Submission!$H:$N,""))</f>
        <v>Ersatzwert für gasförmige Stoffe in [t]</v>
      </c>
      <c r="I388" s="106" t="str">
        <f>_xlfn.CONCAT(_xlfn.XLOOKUP("[S05_DefaultValues][186][InstallationNumber]",Submission!$O:$O,Submission!$H:$N,""))</f>
        <v>3</v>
      </c>
    </row>
    <row r="389" spans="1:9" ht="15.9" hidden="1" customHeight="1" outlineLevel="1" x14ac:dyDescent="0.3">
      <c r="A389" s="13"/>
      <c r="B389" s="34"/>
      <c r="C389" s="281" t="str">
        <f>_xlfn.CONCAT(_xlfn.XLOOKUP("[S05_DefaultValues][187][InstallationCategory]",Submission!$O:$O,Submission!$H:$N,""))</f>
        <v>Category B installation</v>
      </c>
      <c r="D389" s="350"/>
      <c r="E389" s="350"/>
      <c r="F389" s="350"/>
      <c r="G389" s="347"/>
      <c r="H389" s="123" t="str">
        <f>_xlfn.CONCAT(_xlfn.XLOOKUP("[S05_DefaultValues][187][FuelMaterialType]",Submission!$O:$O,Submission!$H:$N,""))</f>
        <v>Ersatzwert für gasförmigen Brennstoff in [1000 Nm³]</v>
      </c>
      <c r="I389" s="106" t="str">
        <f>_xlfn.CONCAT(_xlfn.XLOOKUP("[S05_DefaultValues][187][InstallationNumber]",Submission!$O:$O,Submission!$H:$N,""))</f>
        <v>5</v>
      </c>
    </row>
    <row r="390" spans="1:9" ht="15.9" hidden="1" customHeight="1" outlineLevel="1" x14ac:dyDescent="0.3">
      <c r="A390" s="13"/>
      <c r="B390" s="34"/>
      <c r="C390" s="281" t="str">
        <f>_xlfn.CONCAT(_xlfn.XLOOKUP("[S05_DefaultValues][188][InstallationCategory]",Submission!$O:$O,Submission!$H:$N,""))</f>
        <v>Category B installation</v>
      </c>
      <c r="D390" s="350"/>
      <c r="E390" s="350"/>
      <c r="F390" s="350"/>
      <c r="G390" s="347"/>
      <c r="H390" s="123" t="str">
        <f>_xlfn.CONCAT(_xlfn.XLOOKUP("[S05_DefaultValues][188][FuelMaterialType]",Submission!$O:$O,Submission!$H:$N,""))</f>
        <v>Ersatzwert für gasförmigen Brennstoff in [t]</v>
      </c>
      <c r="I390" s="106" t="str">
        <f>_xlfn.CONCAT(_xlfn.XLOOKUP("[S05_DefaultValues][188][InstallationNumber]",Submission!$O:$O,Submission!$H:$N,""))</f>
        <v>2</v>
      </c>
    </row>
    <row r="391" spans="1:9" ht="15.9" hidden="1" customHeight="1" outlineLevel="1" x14ac:dyDescent="0.3">
      <c r="A391" s="13"/>
      <c r="B391" s="34"/>
      <c r="C391" s="281" t="str">
        <f>_xlfn.CONCAT(_xlfn.XLOOKUP("[S05_DefaultValues][189][InstallationCategory]",Submission!$O:$O,Submission!$H:$N,""))</f>
        <v>Category B installation</v>
      </c>
      <c r="D391" s="350"/>
      <c r="E391" s="350"/>
      <c r="F391" s="350"/>
      <c r="G391" s="347"/>
      <c r="H391" s="123" t="str">
        <f>_xlfn.CONCAT(_xlfn.XLOOKUP("[S05_DefaultValues][189][FuelMaterialType]",Submission!$O:$O,Submission!$H:$N,""))</f>
        <v>Ethan</v>
      </c>
      <c r="I391" s="106" t="str">
        <f>_xlfn.CONCAT(_xlfn.XLOOKUP("[S05_DefaultValues][189][InstallationNumber]",Submission!$O:$O,Submission!$H:$N,""))</f>
        <v>1</v>
      </c>
    </row>
    <row r="392" spans="1:9" ht="15.9" hidden="1" customHeight="1" outlineLevel="1" x14ac:dyDescent="0.3">
      <c r="A392" s="13"/>
      <c r="B392" s="34"/>
      <c r="C392" s="281" t="str">
        <f>_xlfn.CONCAT(_xlfn.XLOOKUP("[S05_DefaultValues][190][InstallationCategory]",Submission!$O:$O,Submission!$H:$N,""))</f>
        <v>Category B installation</v>
      </c>
      <c r="D392" s="350"/>
      <c r="E392" s="350"/>
      <c r="F392" s="350"/>
      <c r="G392" s="347"/>
      <c r="H392" s="123" t="str">
        <f>_xlfn.CONCAT(_xlfn.XLOOKUP("[S05_DefaultValues][190][FuelMaterialType]",Submission!$O:$O,Submission!$H:$N,""))</f>
        <v>Ethylen</v>
      </c>
      <c r="I392" s="106" t="str">
        <f>_xlfn.CONCAT(_xlfn.XLOOKUP("[S05_DefaultValues][190][InstallationNumber]",Submission!$O:$O,Submission!$H:$N,""))</f>
        <v>6</v>
      </c>
    </row>
    <row r="393" spans="1:9" ht="15.9" hidden="1" customHeight="1" outlineLevel="1" x14ac:dyDescent="0.3">
      <c r="A393" s="13"/>
      <c r="B393" s="34"/>
      <c r="C393" s="281" t="str">
        <f>_xlfn.CONCAT(_xlfn.XLOOKUP("[S05_DefaultValues][191][InstallationCategory]",Submission!$O:$O,Submission!$H:$N,""))</f>
        <v>Category B installation</v>
      </c>
      <c r="D393" s="350"/>
      <c r="E393" s="350"/>
      <c r="F393" s="350"/>
      <c r="G393" s="347"/>
      <c r="H393" s="123" t="str">
        <f>_xlfn.CONCAT(_xlfn.XLOOKUP("[S05_DefaultValues][191][FuelMaterialType]",Submission!$O:$O,Submission!$H:$N,""))</f>
        <v>Ethylendichlorid</v>
      </c>
      <c r="I393" s="106" t="str">
        <f>_xlfn.CONCAT(_xlfn.XLOOKUP("[S05_DefaultValues][191][InstallationNumber]",Submission!$O:$O,Submission!$H:$N,""))</f>
        <v>2</v>
      </c>
    </row>
    <row r="394" spans="1:9" ht="15.9" hidden="1" customHeight="1" outlineLevel="1" x14ac:dyDescent="0.3">
      <c r="A394" s="13"/>
      <c r="B394" s="34"/>
      <c r="C394" s="281" t="str">
        <f>_xlfn.CONCAT(_xlfn.XLOOKUP("[S05_DefaultValues][192][InstallationCategory]",Submission!$O:$O,Submission!$H:$N,""))</f>
        <v>Category B installation</v>
      </c>
      <c r="D394" s="350"/>
      <c r="E394" s="350"/>
      <c r="F394" s="350"/>
      <c r="G394" s="347"/>
      <c r="H394" s="123" t="str">
        <f>_xlfn.CONCAT(_xlfn.XLOOKUP("[S05_DefaultValues][192][FuelMaterialType]",Submission!$O:$O,Submission!$H:$N,""))</f>
        <v>Ethylenglykol</v>
      </c>
      <c r="I394" s="106" t="str">
        <f>_xlfn.CONCAT(_xlfn.XLOOKUP("[S05_DefaultValues][192][InstallationNumber]",Submission!$O:$O,Submission!$H:$N,""))</f>
        <v>1</v>
      </c>
    </row>
    <row r="395" spans="1:9" ht="15.9" hidden="1" customHeight="1" outlineLevel="1" x14ac:dyDescent="0.3">
      <c r="A395" s="13"/>
      <c r="B395" s="34"/>
      <c r="C395" s="281" t="str">
        <f>_xlfn.CONCAT(_xlfn.XLOOKUP("[S05_DefaultValues][193][InstallationCategory]",Submission!$O:$O,Submission!$H:$N,""))</f>
        <v>Category B installation</v>
      </c>
      <c r="D395" s="350"/>
      <c r="E395" s="350"/>
      <c r="F395" s="350"/>
      <c r="G395" s="347"/>
      <c r="H395" s="123" t="str">
        <f>_xlfn.CONCAT(_xlfn.XLOOKUP("[S05_DefaultValues][193][FuelMaterialType]",Submission!$O:$O,Submission!$H:$N,""))</f>
        <v>Ethylenoxid</v>
      </c>
      <c r="I395" s="106" t="str">
        <f>_xlfn.CONCAT(_xlfn.XLOOKUP("[S05_DefaultValues][193][InstallationNumber]",Submission!$O:$O,Submission!$H:$N,""))</f>
        <v>3</v>
      </c>
    </row>
    <row r="396" spans="1:9" ht="15.9" hidden="1" customHeight="1" outlineLevel="1" x14ac:dyDescent="0.3">
      <c r="A396" s="13"/>
      <c r="B396" s="34"/>
      <c r="C396" s="281" t="str">
        <f>_xlfn.CONCAT(_xlfn.XLOOKUP("[S05_DefaultValues][194][InstallationCategory]",Submission!$O:$O,Submission!$H:$N,""))</f>
        <v>Category B installation</v>
      </c>
      <c r="D396" s="350"/>
      <c r="E396" s="350"/>
      <c r="F396" s="350"/>
      <c r="G396" s="347"/>
      <c r="H396" s="123" t="str">
        <f>_xlfn.CONCAT(_xlfn.XLOOKUP("[S05_DefaultValues][194][FuelMaterialType]",Submission!$O:$O,Submission!$H:$N,""))</f>
        <v>Flüssiggas</v>
      </c>
      <c r="I396" s="106" t="str">
        <f>_xlfn.CONCAT(_xlfn.XLOOKUP("[S05_DefaultValues][194][InstallationNumber]",Submission!$O:$O,Submission!$H:$N,""))</f>
        <v>2</v>
      </c>
    </row>
    <row r="397" spans="1:9" ht="15.9" hidden="1" customHeight="1" outlineLevel="1" x14ac:dyDescent="0.3">
      <c r="A397" s="13"/>
      <c r="B397" s="34"/>
      <c r="C397" s="281" t="str">
        <f>_xlfn.CONCAT(_xlfn.XLOOKUP("[S05_DefaultValues][195][InstallationCategory]",Submission!$O:$O,Submission!$H:$N,""))</f>
        <v>Category B installation</v>
      </c>
      <c r="D397" s="350"/>
      <c r="E397" s="350"/>
      <c r="F397" s="350"/>
      <c r="G397" s="347"/>
      <c r="H397" s="123" t="str">
        <f>_xlfn.CONCAT(_xlfn.XLOOKUP("[S05_DefaultValues][195][FuelMaterialType]",Submission!$O:$O,Submission!$H:$N,""))</f>
        <v>Flüssiggas (100% Butan)</v>
      </c>
      <c r="I397" s="106" t="str">
        <f>_xlfn.CONCAT(_xlfn.XLOOKUP("[S05_DefaultValues][195][InstallationNumber]",Submission!$O:$O,Submission!$H:$N,""))</f>
        <v>3</v>
      </c>
    </row>
    <row r="398" spans="1:9" ht="15.9" hidden="1" customHeight="1" outlineLevel="1" x14ac:dyDescent="0.3">
      <c r="A398" s="13"/>
      <c r="B398" s="34"/>
      <c r="C398" s="281" t="str">
        <f>_xlfn.CONCAT(_xlfn.XLOOKUP("[S05_DefaultValues][196][InstallationCategory]",Submission!$O:$O,Submission!$H:$N,""))</f>
        <v>Category B installation</v>
      </c>
      <c r="D398" s="350"/>
      <c r="E398" s="350"/>
      <c r="F398" s="350"/>
      <c r="G398" s="347"/>
      <c r="H398" s="123" t="str">
        <f>_xlfn.CONCAT(_xlfn.XLOOKUP("[S05_DefaultValues][196][FuelMaterialType]",Submission!$O:$O,Submission!$H:$N,""))</f>
        <v>Flüssiggas (100% Propan)</v>
      </c>
      <c r="I398" s="106" t="str">
        <f>_xlfn.CONCAT(_xlfn.XLOOKUP("[S05_DefaultValues][196][InstallationNumber]",Submission!$O:$O,Submission!$H:$N,""))</f>
        <v>27</v>
      </c>
    </row>
    <row r="399" spans="1:9" ht="15.9" hidden="1" customHeight="1" outlineLevel="1" x14ac:dyDescent="0.3">
      <c r="A399" s="13"/>
      <c r="B399" s="34"/>
      <c r="C399" s="281" t="str">
        <f>_xlfn.CONCAT(_xlfn.XLOOKUP("[S05_DefaultValues][197][InstallationCategory]",Submission!$O:$O,Submission!$H:$N,""))</f>
        <v>Category B installation</v>
      </c>
      <c r="D399" s="350"/>
      <c r="E399" s="350"/>
      <c r="F399" s="350"/>
      <c r="G399" s="347"/>
      <c r="H399" s="123" t="str">
        <f>_xlfn.CONCAT(_xlfn.XLOOKUP("[S05_DefaultValues][197][FuelMaterialType]",Submission!$O:$O,Submission!$H:$N,""))</f>
        <v>Harnstoff/Urea</v>
      </c>
      <c r="I399" s="106" t="str">
        <f>_xlfn.CONCAT(_xlfn.XLOOKUP("[S05_DefaultValues][197][InstallationNumber]",Submission!$O:$O,Submission!$H:$N,""))</f>
        <v>18</v>
      </c>
    </row>
    <row r="400" spans="1:9" ht="15.9" hidden="1" customHeight="1" outlineLevel="1" x14ac:dyDescent="0.3">
      <c r="A400" s="13"/>
      <c r="B400" s="34"/>
      <c r="C400" s="281" t="str">
        <f>_xlfn.CONCAT(_xlfn.XLOOKUP("[S05_DefaultValues][198][InstallationCategory]",Submission!$O:$O,Submission!$H:$N,""))</f>
        <v>Category B installation</v>
      </c>
      <c r="D400" s="350"/>
      <c r="E400" s="350"/>
      <c r="F400" s="350"/>
      <c r="G400" s="347"/>
      <c r="H400" s="123" t="str">
        <f>_xlfn.CONCAT(_xlfn.XLOOKUP("[S05_DefaultValues][198][FuelMaterialType]",Submission!$O:$O,Submission!$H:$N,""))</f>
        <v>Heizöl EL nach DIN 51603, Teil 1</v>
      </c>
      <c r="I400" s="106" t="str">
        <f>_xlfn.CONCAT(_xlfn.XLOOKUP("[S05_DefaultValues][198][InstallationNumber]",Submission!$O:$O,Submission!$H:$N,""))</f>
        <v>174</v>
      </c>
    </row>
    <row r="401" spans="1:9" ht="15.9" hidden="1" customHeight="1" outlineLevel="1" x14ac:dyDescent="0.3">
      <c r="A401" s="13"/>
      <c r="B401" s="34"/>
      <c r="C401" s="281" t="str">
        <f>_xlfn.CONCAT(_xlfn.XLOOKUP("[S05_DefaultValues][199][InstallationCategory]",Submission!$O:$O,Submission!$H:$N,""))</f>
        <v>Category B installation</v>
      </c>
      <c r="D401" s="350"/>
      <c r="E401" s="350"/>
      <c r="F401" s="350"/>
      <c r="G401" s="347"/>
      <c r="H401" s="123" t="str">
        <f>_xlfn.CONCAT(_xlfn.XLOOKUP("[S05_DefaultValues][199][FuelMaterialType]",Submission!$O:$O,Submission!$H:$N,""))</f>
        <v>Heizöl S nach DIN 51603, Teil 3</v>
      </c>
      <c r="I401" s="106" t="str">
        <f>_xlfn.CONCAT(_xlfn.XLOOKUP("[S05_DefaultValues][199][InstallationNumber]",Submission!$O:$O,Submission!$H:$N,""))</f>
        <v>9</v>
      </c>
    </row>
    <row r="402" spans="1:9" ht="15.9" hidden="1" customHeight="1" outlineLevel="1" x14ac:dyDescent="0.3">
      <c r="A402" s="13"/>
      <c r="B402" s="34"/>
      <c r="C402" s="281" t="str">
        <f>_xlfn.CONCAT(_xlfn.XLOOKUP("[S05_DefaultValues][200][InstallationCategory]",Submission!$O:$O,Submission!$H:$N,""))</f>
        <v>Category B installation</v>
      </c>
      <c r="D402" s="350"/>
      <c r="E402" s="350"/>
      <c r="F402" s="350"/>
      <c r="G402" s="347"/>
      <c r="H402" s="123" t="str">
        <f>_xlfn.CONCAT(_xlfn.XLOOKUP("[S05_DefaultValues][200][FuelMaterialType]",Submission!$O:$O,Submission!$H:$N,""))</f>
        <v>Holzkohle</v>
      </c>
      <c r="I402" s="106" t="str">
        <f>_xlfn.CONCAT(_xlfn.XLOOKUP("[S05_DefaultValues][200][InstallationNumber]",Submission!$O:$O,Submission!$H:$N,""))</f>
        <v>3</v>
      </c>
    </row>
    <row r="403" spans="1:9" ht="15.9" hidden="1" customHeight="1" outlineLevel="1" x14ac:dyDescent="0.3">
      <c r="A403" s="13"/>
      <c r="B403" s="34"/>
      <c r="C403" s="281" t="str">
        <f>_xlfn.CONCAT(_xlfn.XLOOKUP("[S05_DefaultValues][201][InstallationCategory]",Submission!$O:$O,Submission!$H:$N,""))</f>
        <v>Category B installation</v>
      </c>
      <c r="D403" s="350"/>
      <c r="E403" s="350"/>
      <c r="F403" s="350"/>
      <c r="G403" s="347"/>
      <c r="H403" s="123" t="str">
        <f>_xlfn.CONCAT(_xlfn.XLOOKUP("[S05_DefaultValues][201][FuelMaterialType]",Submission!$O:$O,Submission!$H:$N,""))</f>
        <v>K2CO3</v>
      </c>
      <c r="I403" s="106" t="str">
        <f>_xlfn.CONCAT(_xlfn.XLOOKUP("[S05_DefaultValues][201][InstallationNumber]",Submission!$O:$O,Submission!$H:$N,""))</f>
        <v>3</v>
      </c>
    </row>
    <row r="404" spans="1:9" ht="15.9" hidden="1" customHeight="1" outlineLevel="1" x14ac:dyDescent="0.3">
      <c r="A404" s="13"/>
      <c r="B404" s="34"/>
      <c r="C404" s="281" t="str">
        <f>_xlfn.CONCAT(_xlfn.XLOOKUP("[S05_DefaultValues][202][InstallationCategory]",Submission!$O:$O,Submission!$H:$N,""))</f>
        <v>Category B installation</v>
      </c>
      <c r="D404" s="350"/>
      <c r="E404" s="350"/>
      <c r="F404" s="350"/>
      <c r="G404" s="347"/>
      <c r="H404" s="123" t="str">
        <f>_xlfn.CONCAT(_xlfn.XLOOKUP("[S05_DefaultValues][202][FuelMaterialType]",Submission!$O:$O,Submission!$H:$N,""))</f>
        <v>Kalziumkarbid/Calciumcarbid</v>
      </c>
      <c r="I404" s="106" t="str">
        <f>_xlfn.CONCAT(_xlfn.XLOOKUP("[S05_DefaultValues][202][InstallationNumber]",Submission!$O:$O,Submission!$H:$N,""))</f>
        <v>1</v>
      </c>
    </row>
    <row r="405" spans="1:9" ht="15.9" hidden="1" customHeight="1" outlineLevel="1" x14ac:dyDescent="0.3">
      <c r="A405" s="13"/>
      <c r="B405" s="34"/>
      <c r="C405" s="281" t="str">
        <f>_xlfn.CONCAT(_xlfn.XLOOKUP("[S05_DefaultValues][203][InstallationCategory]",Submission!$O:$O,Submission!$H:$N,""))</f>
        <v>Category B installation</v>
      </c>
      <c r="D405" s="350"/>
      <c r="E405" s="350"/>
      <c r="F405" s="350"/>
      <c r="G405" s="347"/>
      <c r="H405" s="123" t="str">
        <f>_xlfn.CONCAT(_xlfn.XLOOKUP("[S05_DefaultValues][203][FuelMaterialType]",Submission!$O:$O,Submission!$H:$N,""))</f>
        <v>Kohlendioxid</v>
      </c>
      <c r="I405" s="106" t="str">
        <f>_xlfn.CONCAT(_xlfn.XLOOKUP("[S05_DefaultValues][203][InstallationNumber]",Submission!$O:$O,Submission!$H:$N,""))</f>
        <v>12</v>
      </c>
    </row>
    <row r="406" spans="1:9" ht="15.9" hidden="1" customHeight="1" outlineLevel="1" x14ac:dyDescent="0.3">
      <c r="A406" s="13"/>
      <c r="B406" s="34"/>
      <c r="C406" s="281" t="str">
        <f>_xlfn.CONCAT(_xlfn.XLOOKUP("[S05_DefaultValues][204][InstallationCategory]",Submission!$O:$O,Submission!$H:$N,""))</f>
        <v>Category B installation</v>
      </c>
      <c r="D406" s="350"/>
      <c r="E406" s="350"/>
      <c r="F406" s="350"/>
      <c r="G406" s="347"/>
      <c r="H406" s="123" t="str">
        <f>_xlfn.CONCAT(_xlfn.XLOOKUP("[S05_DefaultValues][204][FuelMaterialType]",Submission!$O:$O,Submission!$H:$N,""))</f>
        <v>Kokskohle</v>
      </c>
      <c r="I406" s="106" t="str">
        <f>_xlfn.CONCAT(_xlfn.XLOOKUP("[S05_DefaultValues][204][InstallationNumber]",Submission!$O:$O,Submission!$H:$N,""))</f>
        <v>1</v>
      </c>
    </row>
    <row r="407" spans="1:9" ht="15.9" hidden="1" customHeight="1" outlineLevel="1" x14ac:dyDescent="0.3">
      <c r="A407" s="13"/>
      <c r="B407" s="34"/>
      <c r="C407" s="281" t="str">
        <f>_xlfn.CONCAT(_xlfn.XLOOKUP("[S05_DefaultValues][205][InstallationCategory]",Submission!$O:$O,Submission!$H:$N,""))</f>
        <v>Category B installation</v>
      </c>
      <c r="D407" s="350"/>
      <c r="E407" s="350"/>
      <c r="F407" s="350"/>
      <c r="G407" s="347"/>
      <c r="H407" s="123" t="str">
        <f>_xlfn.CONCAT(_xlfn.XLOOKUP("[S05_DefaultValues][205][FuelMaterialType]",Submission!$O:$O,Submission!$H:$N,""))</f>
        <v>Legierungsbestandteile</v>
      </c>
      <c r="I407" s="106" t="str">
        <f>_xlfn.CONCAT(_xlfn.XLOOKUP("[S05_DefaultValues][205][InstallationNumber]",Submission!$O:$O,Submission!$H:$N,""))</f>
        <v>4</v>
      </c>
    </row>
    <row r="408" spans="1:9" ht="15.9" hidden="1" customHeight="1" outlineLevel="1" x14ac:dyDescent="0.3">
      <c r="A408" s="13"/>
      <c r="B408" s="34"/>
      <c r="C408" s="281" t="str">
        <f>_xlfn.CONCAT(_xlfn.XLOOKUP("[S05_DefaultValues][206][InstallationCategory]",Submission!$O:$O,Submission!$H:$N,""))</f>
        <v>Category B installation</v>
      </c>
      <c r="D408" s="350"/>
      <c r="E408" s="350"/>
      <c r="F408" s="350"/>
      <c r="G408" s="347"/>
      <c r="H408" s="123" t="str">
        <f>_xlfn.CONCAT(_xlfn.XLOOKUP("[S05_DefaultValues][206][FuelMaterialType]",Submission!$O:$O,Submission!$H:$N,""))</f>
        <v>Li2CO3</v>
      </c>
      <c r="I408" s="106" t="str">
        <f>_xlfn.CONCAT(_xlfn.XLOOKUP("[S05_DefaultValues][206][InstallationNumber]",Submission!$O:$O,Submission!$H:$N,""))</f>
        <v>1</v>
      </c>
    </row>
    <row r="409" spans="1:9" ht="15.9" hidden="1" customHeight="1" outlineLevel="1" x14ac:dyDescent="0.3">
      <c r="A409" s="13"/>
      <c r="B409" s="34"/>
      <c r="C409" s="281" t="str">
        <f>_xlfn.CONCAT(_xlfn.XLOOKUP("[S05_DefaultValues][207][InstallationCategory]",Submission!$O:$O,Submission!$H:$N,""))</f>
        <v>Category B installation</v>
      </c>
      <c r="D409" s="350"/>
      <c r="E409" s="350"/>
      <c r="F409" s="350"/>
      <c r="G409" s="347"/>
      <c r="H409" s="123" t="str">
        <f>_xlfn.CONCAT(_xlfn.XLOOKUP("[S05_DefaultValues][207][FuelMaterialType]",Submission!$O:$O,Submission!$H:$N,""))</f>
        <v>Melamin</v>
      </c>
      <c r="I409" s="106" t="str">
        <f>_xlfn.CONCAT(_xlfn.XLOOKUP("[S05_DefaultValues][207][InstallationNumber]",Submission!$O:$O,Submission!$H:$N,""))</f>
        <v>1</v>
      </c>
    </row>
    <row r="410" spans="1:9" ht="15.9" hidden="1" customHeight="1" outlineLevel="1" x14ac:dyDescent="0.3">
      <c r="A410" s="13"/>
      <c r="B410" s="34"/>
      <c r="C410" s="281" t="str">
        <f>_xlfn.CONCAT(_xlfn.XLOOKUP("[S05_DefaultValues][208][InstallationCategory]",Submission!$O:$O,Submission!$H:$N,""))</f>
        <v>Category B installation</v>
      </c>
      <c r="D410" s="350"/>
      <c r="E410" s="350"/>
      <c r="F410" s="350"/>
      <c r="G410" s="347"/>
      <c r="H410" s="123" t="str">
        <f>_xlfn.CONCAT(_xlfn.XLOOKUP("[S05_DefaultValues][208][FuelMaterialType]",Submission!$O:$O,Submission!$H:$N,""))</f>
        <v>Methan</v>
      </c>
      <c r="I410" s="106" t="str">
        <f>_xlfn.CONCAT(_xlfn.XLOOKUP("[S05_DefaultValues][208][InstallationNumber]",Submission!$O:$O,Submission!$H:$N,""))</f>
        <v>3</v>
      </c>
    </row>
    <row r="411" spans="1:9" ht="15.9" hidden="1" customHeight="1" outlineLevel="1" x14ac:dyDescent="0.3">
      <c r="A411" s="13"/>
      <c r="B411" s="34"/>
      <c r="C411" s="281" t="str">
        <f>_xlfn.CONCAT(_xlfn.XLOOKUP("[S05_DefaultValues][209][InstallationCategory]",Submission!$O:$O,Submission!$H:$N,""))</f>
        <v>Category B installation</v>
      </c>
      <c r="D411" s="350"/>
      <c r="E411" s="350"/>
      <c r="F411" s="350"/>
      <c r="G411" s="347"/>
      <c r="H411" s="123" t="str">
        <f>_xlfn.CONCAT(_xlfn.XLOOKUP("[S05_DefaultValues][209][FuelMaterialType]",Submission!$O:$O,Submission!$H:$N,""))</f>
        <v>Methanol</v>
      </c>
      <c r="I411" s="106" t="str">
        <f>_xlfn.CONCAT(_xlfn.XLOOKUP("[S05_DefaultValues][209][InstallationNumber]",Submission!$O:$O,Submission!$H:$N,""))</f>
        <v>4</v>
      </c>
    </row>
    <row r="412" spans="1:9" ht="15.9" hidden="1" customHeight="1" outlineLevel="1" x14ac:dyDescent="0.3">
      <c r="A412" s="13"/>
      <c r="B412" s="34"/>
      <c r="C412" s="281" t="str">
        <f>_xlfn.CONCAT(_xlfn.XLOOKUP("[S05_DefaultValues][210][InstallationCategory]",Submission!$O:$O,Submission!$H:$N,""))</f>
        <v>Category B installation</v>
      </c>
      <c r="D412" s="350"/>
      <c r="E412" s="350"/>
      <c r="F412" s="350"/>
      <c r="G412" s="347"/>
      <c r="H412" s="123" t="str">
        <f>_xlfn.CONCAT(_xlfn.XLOOKUP("[S05_DefaultValues][210][FuelMaterialType]",Submission!$O:$O,Submission!$H:$N,""))</f>
        <v>MgCO3</v>
      </c>
      <c r="I412" s="106" t="str">
        <f>_xlfn.CONCAT(_xlfn.XLOOKUP("[S05_DefaultValues][210][InstallationNumber]",Submission!$O:$O,Submission!$H:$N,""))</f>
        <v>1</v>
      </c>
    </row>
    <row r="413" spans="1:9" ht="15.9" hidden="1" customHeight="1" outlineLevel="1" x14ac:dyDescent="0.3">
      <c r="A413" s="13"/>
      <c r="B413" s="34"/>
      <c r="C413" s="281" t="str">
        <f>_xlfn.CONCAT(_xlfn.XLOOKUP("[S05_DefaultValues][211][InstallationCategory]",Submission!$O:$O,Submission!$H:$N,""))</f>
        <v>Category B installation</v>
      </c>
      <c r="D413" s="350"/>
      <c r="E413" s="350"/>
      <c r="F413" s="350"/>
      <c r="G413" s="347"/>
      <c r="H413" s="123" t="str">
        <f>_xlfn.CONCAT(_xlfn.XLOOKUP("[S05_DefaultValues][211][FuelMaterialType]",Submission!$O:$O,Submission!$H:$N,""))</f>
        <v>Na2CO3</v>
      </c>
      <c r="I413" s="106" t="str">
        <f>_xlfn.CONCAT(_xlfn.XLOOKUP("[S05_DefaultValues][211][InstallationNumber]",Submission!$O:$O,Submission!$H:$N,""))</f>
        <v>20</v>
      </c>
    </row>
    <row r="414" spans="1:9" ht="15.9" hidden="1" customHeight="1" outlineLevel="1" x14ac:dyDescent="0.3">
      <c r="A414" s="13"/>
      <c r="B414" s="34"/>
      <c r="C414" s="281" t="str">
        <f>_xlfn.CONCAT(_xlfn.XLOOKUP("[S05_DefaultValues][212][InstallationCategory]",Submission!$O:$O,Submission!$H:$N,""))</f>
        <v>Category B installation</v>
      </c>
      <c r="D414" s="350"/>
      <c r="E414" s="350"/>
      <c r="F414" s="350"/>
      <c r="G414" s="347"/>
      <c r="H414" s="123" t="str">
        <f>_xlfn.CONCAT(_xlfn.XLOOKUP("[S05_DefaultValues][212][FuelMaterialType]",Submission!$O:$O,Submission!$H:$N,""))</f>
        <v>NaHCO3</v>
      </c>
      <c r="I414" s="106" t="str">
        <f>_xlfn.CONCAT(_xlfn.XLOOKUP("[S05_DefaultValues][212][InstallationNumber]",Submission!$O:$O,Submission!$H:$N,""))</f>
        <v>10</v>
      </c>
    </row>
    <row r="415" spans="1:9" ht="15.9" hidden="1" customHeight="1" outlineLevel="1" x14ac:dyDescent="0.3">
      <c r="A415" s="13"/>
      <c r="B415" s="34"/>
      <c r="C415" s="281" t="str">
        <f>_xlfn.CONCAT(_xlfn.XLOOKUP("[S05_DefaultValues][213][InstallationCategory]",Submission!$O:$O,Submission!$H:$N,""))</f>
        <v>Category B installation</v>
      </c>
      <c r="D415" s="350"/>
      <c r="E415" s="350"/>
      <c r="F415" s="350"/>
      <c r="G415" s="347"/>
      <c r="H415" s="123" t="str">
        <f>_xlfn.CONCAT(_xlfn.XLOOKUP("[S05_DefaultValues][213][FuelMaterialType]",Submission!$O:$O,Submission!$H:$N,""))</f>
        <v>Petrolkoks</v>
      </c>
      <c r="I415" s="106" t="str">
        <f>_xlfn.CONCAT(_xlfn.XLOOKUP("[S05_DefaultValues][213][InstallationNumber]",Submission!$O:$O,Submission!$H:$N,""))</f>
        <v>4</v>
      </c>
    </row>
    <row r="416" spans="1:9" ht="15.9" hidden="1" customHeight="1" outlineLevel="1" x14ac:dyDescent="0.3">
      <c r="A416" s="13"/>
      <c r="B416" s="34"/>
      <c r="C416" s="281" t="str">
        <f>_xlfn.CONCAT(_xlfn.XLOOKUP("[S05_DefaultValues][214][InstallationCategory]",Submission!$O:$O,Submission!$H:$N,""))</f>
        <v>Category B installation</v>
      </c>
      <c r="D416" s="350"/>
      <c r="E416" s="350"/>
      <c r="F416" s="350"/>
      <c r="G416" s="347"/>
      <c r="H416" s="123" t="str">
        <f>_xlfn.CONCAT(_xlfn.XLOOKUP("[S05_DefaultValues][214][FuelMaterialType]",Submission!$O:$O,Submission!$H:$N,""))</f>
        <v>Phenole</v>
      </c>
      <c r="I416" s="106" t="str">
        <f>_xlfn.CONCAT(_xlfn.XLOOKUP("[S05_DefaultValues][214][InstallationNumber]",Submission!$O:$O,Submission!$H:$N,""))</f>
        <v>1</v>
      </c>
    </row>
    <row r="417" spans="1:9" ht="15.9" hidden="1" customHeight="1" outlineLevel="1" x14ac:dyDescent="0.3">
      <c r="A417" s="13"/>
      <c r="B417" s="34"/>
      <c r="C417" s="281" t="str">
        <f>_xlfn.CONCAT(_xlfn.XLOOKUP("[S05_DefaultValues][215][InstallationCategory]",Submission!$O:$O,Submission!$H:$N,""))</f>
        <v>Category B installation</v>
      </c>
      <c r="D417" s="350"/>
      <c r="E417" s="350"/>
      <c r="F417" s="350"/>
      <c r="G417" s="347"/>
      <c r="H417" s="123" t="str">
        <f>_xlfn.CONCAT(_xlfn.XLOOKUP("[S05_DefaultValues][215][FuelMaterialType]",Submission!$O:$O,Submission!$H:$N,""))</f>
        <v>Produktion von Branntkalk</v>
      </c>
      <c r="I417" s="106" t="str">
        <f>_xlfn.CONCAT(_xlfn.XLOOKUP("[S05_DefaultValues][215][InstallationNumber]",Submission!$O:$O,Submission!$H:$N,""))</f>
        <v>1</v>
      </c>
    </row>
    <row r="418" spans="1:9" ht="15.9" hidden="1" customHeight="1" outlineLevel="1" x14ac:dyDescent="0.3">
      <c r="A418" s="13"/>
      <c r="B418" s="34"/>
      <c r="C418" s="281" t="str">
        <f>_xlfn.CONCAT(_xlfn.XLOOKUP("[S05_DefaultValues][216][InstallationCategory]",Submission!$O:$O,Submission!$H:$N,""))</f>
        <v>Category B installation</v>
      </c>
      <c r="D418" s="350"/>
      <c r="E418" s="350"/>
      <c r="F418" s="350"/>
      <c r="G418" s="347"/>
      <c r="H418" s="123" t="str">
        <f>_xlfn.CONCAT(_xlfn.XLOOKUP("[S05_DefaultValues][216][FuelMaterialType]",Submission!$O:$O,Submission!$H:$N,""))</f>
        <v>Produktion von Dolomitkalk</v>
      </c>
      <c r="I418" s="106" t="str">
        <f>_xlfn.CONCAT(_xlfn.XLOOKUP("[S05_DefaultValues][216][InstallationNumber]",Submission!$O:$O,Submission!$H:$N,""))</f>
        <v>1</v>
      </c>
    </row>
    <row r="419" spans="1:9" ht="15.9" hidden="1" customHeight="1" outlineLevel="1" x14ac:dyDescent="0.3">
      <c r="A419" s="13"/>
      <c r="B419" s="34"/>
      <c r="C419" s="281" t="str">
        <f>_xlfn.CONCAT(_xlfn.XLOOKUP("[S05_DefaultValues][217][InstallationCategory]",Submission!$O:$O,Submission!$H:$N,""))</f>
        <v>Category B installation</v>
      </c>
      <c r="D419" s="350"/>
      <c r="E419" s="350"/>
      <c r="F419" s="350"/>
      <c r="G419" s="347"/>
      <c r="H419" s="123" t="str">
        <f>_xlfn.CONCAT(_xlfn.XLOOKUP("[S05_DefaultValues][217][FuelMaterialType]",Submission!$O:$O,Submission!$H:$N,""))</f>
        <v>Propan</v>
      </c>
      <c r="I419" s="106" t="str">
        <f>_xlfn.CONCAT(_xlfn.XLOOKUP("[S05_DefaultValues][217][InstallationNumber]",Submission!$O:$O,Submission!$H:$N,""))</f>
        <v>2</v>
      </c>
    </row>
    <row r="420" spans="1:9" ht="15.9" hidden="1" customHeight="1" outlineLevel="1" x14ac:dyDescent="0.3">
      <c r="A420" s="13"/>
      <c r="B420" s="34"/>
      <c r="C420" s="281" t="str">
        <f>_xlfn.CONCAT(_xlfn.XLOOKUP("[S05_DefaultValues][218][InstallationCategory]",Submission!$O:$O,Submission!$H:$N,""))</f>
        <v>Category B installation</v>
      </c>
      <c r="D420" s="350"/>
      <c r="E420" s="350"/>
      <c r="F420" s="350"/>
      <c r="G420" s="347"/>
      <c r="H420" s="123" t="str">
        <f>_xlfn.CONCAT(_xlfn.XLOOKUP("[S05_DefaultValues][218][FuelMaterialType]",Submission!$O:$O,Submission!$H:$N,""))</f>
        <v>Propylen</v>
      </c>
      <c r="I420" s="106" t="str">
        <f>_xlfn.CONCAT(_xlfn.XLOOKUP("[S05_DefaultValues][218][InstallationNumber]",Submission!$O:$O,Submission!$H:$N,""))</f>
        <v>2</v>
      </c>
    </row>
    <row r="421" spans="1:9" ht="15.9" hidden="1" customHeight="1" outlineLevel="1" x14ac:dyDescent="0.3">
      <c r="A421" s="13"/>
      <c r="B421" s="34"/>
      <c r="C421" s="281" t="str">
        <f>_xlfn.CONCAT(_xlfn.XLOOKUP("[S05_DefaultValues][219][InstallationCategory]",Submission!$O:$O,Submission!$H:$N,""))</f>
        <v>Category B installation</v>
      </c>
      <c r="D421" s="350"/>
      <c r="E421" s="350"/>
      <c r="F421" s="350"/>
      <c r="G421" s="347"/>
      <c r="H421" s="123" t="str">
        <f>_xlfn.CONCAT(_xlfn.XLOOKUP("[S05_DefaultValues][219][FuelMaterialType]",Submission!$O:$O,Submission!$H:$N,""))</f>
        <v>Raffineriegas (Ersatzwert)</v>
      </c>
      <c r="I421" s="106" t="str">
        <f>_xlfn.CONCAT(_xlfn.XLOOKUP("[S05_DefaultValues][219][InstallationNumber]",Submission!$O:$O,Submission!$H:$N,""))</f>
        <v>1</v>
      </c>
    </row>
    <row r="422" spans="1:9" ht="15.9" hidden="1" customHeight="1" outlineLevel="1" x14ac:dyDescent="0.3">
      <c r="A422" s="13"/>
      <c r="B422" s="34"/>
      <c r="C422" s="281" t="str">
        <f>_xlfn.CONCAT(_xlfn.XLOOKUP("[S05_DefaultValues][220][InstallationCategory]",Submission!$O:$O,Submission!$H:$N,""))</f>
        <v>Category B installation</v>
      </c>
      <c r="D422" s="350"/>
      <c r="E422" s="350"/>
      <c r="F422" s="350"/>
      <c r="G422" s="347"/>
      <c r="H422" s="123" t="str">
        <f>_xlfn.CONCAT(_xlfn.XLOOKUP("[S05_DefaultValues][220][FuelMaterialType]",Submission!$O:$O,Submission!$H:$N,""))</f>
        <v>Raffineriegas in [t] (Ersatzwert)</v>
      </c>
      <c r="I422" s="106" t="str">
        <f>_xlfn.CONCAT(_xlfn.XLOOKUP("[S05_DefaultValues][220][InstallationNumber]",Submission!$O:$O,Submission!$H:$N,""))</f>
        <v>2</v>
      </c>
    </row>
    <row r="423" spans="1:9" ht="15.9" hidden="1" customHeight="1" outlineLevel="1" x14ac:dyDescent="0.3">
      <c r="A423" s="13"/>
      <c r="B423" s="34"/>
      <c r="C423" s="281" t="str">
        <f>_xlfn.CONCAT(_xlfn.XLOOKUP("[S05_DefaultValues][221][InstallationCategory]",Submission!$O:$O,Submission!$H:$N,""))</f>
        <v>Category B installation</v>
      </c>
      <c r="D423" s="350"/>
      <c r="E423" s="350"/>
      <c r="F423" s="350"/>
      <c r="G423" s="347"/>
      <c r="H423" s="123" t="str">
        <f>_xlfn.CONCAT(_xlfn.XLOOKUP("[S05_DefaultValues][221][FuelMaterialType]",Submission!$O:$O,Submission!$H:$N,""))</f>
        <v>Roheisen</v>
      </c>
      <c r="I423" s="106" t="str">
        <f>_xlfn.CONCAT(_xlfn.XLOOKUP("[S05_DefaultValues][221][InstallationNumber]",Submission!$O:$O,Submission!$H:$N,""))</f>
        <v>1</v>
      </c>
    </row>
    <row r="424" spans="1:9" ht="15.9" hidden="1" customHeight="1" outlineLevel="1" x14ac:dyDescent="0.3">
      <c r="A424" s="13"/>
      <c r="B424" s="34"/>
      <c r="C424" s="281" t="str">
        <f>_xlfn.CONCAT(_xlfn.XLOOKUP("[S05_DefaultValues][222][InstallationCategory]",Submission!$O:$O,Submission!$H:$N,""))</f>
        <v>Category B installation</v>
      </c>
      <c r="D424" s="350"/>
      <c r="E424" s="350"/>
      <c r="F424" s="350"/>
      <c r="G424" s="347"/>
      <c r="H424" s="123" t="str">
        <f>_xlfn.CONCAT(_xlfn.XLOOKUP("[S05_DefaultValues][222][FuelMaterialType]",Submission!$O:$O,Submission!$H:$N,""))</f>
        <v>Schmierstoff</v>
      </c>
      <c r="I424" s="106" t="str">
        <f>_xlfn.CONCAT(_xlfn.XLOOKUP("[S05_DefaultValues][222][InstallationNumber]",Submission!$O:$O,Submission!$H:$N,""))</f>
        <v>11</v>
      </c>
    </row>
    <row r="425" spans="1:9" ht="15.9" hidden="1" customHeight="1" outlineLevel="1" x14ac:dyDescent="0.3">
      <c r="A425" s="13"/>
      <c r="B425" s="34"/>
      <c r="C425" s="281" t="str">
        <f>_xlfn.CONCAT(_xlfn.XLOOKUP("[S05_DefaultValues][223][InstallationCategory]",Submission!$O:$O,Submission!$H:$N,""))</f>
        <v>Category B installation</v>
      </c>
      <c r="D425" s="350"/>
      <c r="E425" s="350"/>
      <c r="F425" s="350"/>
      <c r="G425" s="347"/>
      <c r="H425" s="123" t="str">
        <f>_xlfn.CONCAT(_xlfn.XLOOKUP("[S05_DefaultValues][223][FuelMaterialType]",Submission!$O:$O,Submission!$H:$N,""))</f>
        <v>Sekundärmetall</v>
      </c>
      <c r="I425" s="106" t="str">
        <f>_xlfn.CONCAT(_xlfn.XLOOKUP("[S05_DefaultValues][223][InstallationNumber]",Submission!$O:$O,Submission!$H:$N,""))</f>
        <v>1</v>
      </c>
    </row>
    <row r="426" spans="1:9" ht="15.9" hidden="1" customHeight="1" outlineLevel="1" x14ac:dyDescent="0.3">
      <c r="A426" s="13"/>
      <c r="B426" s="34"/>
      <c r="C426" s="281" t="str">
        <f>_xlfn.CONCAT(_xlfn.XLOOKUP("[S05_DefaultValues][224][InstallationCategory]",Submission!$O:$O,Submission!$H:$N,""))</f>
        <v>Category B installation</v>
      </c>
      <c r="D426" s="350"/>
      <c r="E426" s="350"/>
      <c r="F426" s="350"/>
      <c r="G426" s="347"/>
      <c r="H426" s="123" t="str">
        <f>_xlfn.CONCAT(_xlfn.XLOOKUP("[S05_DefaultValues][224][FuelMaterialType]",Submission!$O:$O,Submission!$H:$N,""))</f>
        <v>SrCO3</v>
      </c>
      <c r="I426" s="106" t="str">
        <f>_xlfn.CONCAT(_xlfn.XLOOKUP("[S05_DefaultValues][224][InstallationNumber]",Submission!$O:$O,Submission!$H:$N,""))</f>
        <v>1</v>
      </c>
    </row>
    <row r="427" spans="1:9" ht="15.9" hidden="1" customHeight="1" outlineLevel="1" x14ac:dyDescent="0.3">
      <c r="A427" s="13"/>
      <c r="B427" s="34"/>
      <c r="C427" s="281" t="str">
        <f>_xlfn.CONCAT(_xlfn.XLOOKUP("[S05_DefaultValues][225][InstallationCategory]",Submission!$O:$O,Submission!$H:$N,""))</f>
        <v>Category B installation</v>
      </c>
      <c r="D427" s="350"/>
      <c r="E427" s="350"/>
      <c r="F427" s="350"/>
      <c r="G427" s="347"/>
      <c r="H427" s="123" t="str">
        <f>_xlfn.CONCAT(_xlfn.XLOOKUP("[S05_DefaultValues][225][FuelMaterialType]",Submission!$O:$O,Submission!$H:$N,""))</f>
        <v>Stahl/Stahlschrott</v>
      </c>
      <c r="I427" s="106" t="str">
        <f>_xlfn.CONCAT(_xlfn.XLOOKUP("[S05_DefaultValues][225][InstallationNumber]",Submission!$O:$O,Submission!$H:$N,""))</f>
        <v>3</v>
      </c>
    </row>
    <row r="428" spans="1:9" ht="15.9" hidden="1" customHeight="1" outlineLevel="1" x14ac:dyDescent="0.3">
      <c r="A428" s="13"/>
      <c r="B428" s="34"/>
      <c r="C428" s="281" t="str">
        <f>_xlfn.CONCAT(_xlfn.XLOOKUP("[S05_DefaultValues][226][InstallationCategory]",Submission!$O:$O,Submission!$H:$N,""))</f>
        <v>Category B installation</v>
      </c>
      <c r="D428" s="350"/>
      <c r="E428" s="350"/>
      <c r="F428" s="350"/>
      <c r="G428" s="347"/>
      <c r="H428" s="123" t="str">
        <f>_xlfn.CONCAT(_xlfn.XLOOKUP("[S05_DefaultValues][226][FuelMaterialType]",Submission!$O:$O,Submission!$H:$N,""))</f>
        <v>Steinkohlenkoks</v>
      </c>
      <c r="I428" s="106" t="str">
        <f>_xlfn.CONCAT(_xlfn.XLOOKUP("[S05_DefaultValues][226][InstallationNumber]",Submission!$O:$O,Submission!$H:$N,""))</f>
        <v>10</v>
      </c>
    </row>
    <row r="429" spans="1:9" ht="15.9" hidden="1" customHeight="1" outlineLevel="1" x14ac:dyDescent="0.3">
      <c r="A429" s="13"/>
      <c r="B429" s="34"/>
      <c r="C429" s="281" t="str">
        <f>_xlfn.CONCAT(_xlfn.XLOOKUP("[S05_DefaultValues][227][InstallationCategory]",Submission!$O:$O,Submission!$H:$N,""))</f>
        <v>Category B installation</v>
      </c>
      <c r="D429" s="350"/>
      <c r="E429" s="350"/>
      <c r="F429" s="350"/>
      <c r="G429" s="347"/>
      <c r="H429" s="123" t="str">
        <f>_xlfn.CONCAT(_xlfn.XLOOKUP("[S05_DefaultValues][227][FuelMaterialType]",Submission!$O:$O,Submission!$H:$N,""))</f>
        <v>Vinylchloridmonomer</v>
      </c>
      <c r="I429" s="106" t="str">
        <f>_xlfn.CONCAT(_xlfn.XLOOKUP("[S05_DefaultValues][227][InstallationNumber]",Submission!$O:$O,Submission!$H:$N,""))</f>
        <v>2</v>
      </c>
    </row>
    <row r="430" spans="1:9" ht="15.9" hidden="1" customHeight="1" outlineLevel="1" x14ac:dyDescent="0.3">
      <c r="A430" s="13"/>
      <c r="B430" s="34"/>
      <c r="C430" s="281" t="str">
        <f>_xlfn.CONCAT(_xlfn.XLOOKUP("[S05_DefaultValues][228][InstallationCategory]",Submission!$O:$O,Submission!$H:$N,""))</f>
        <v>Category B installation</v>
      </c>
      <c r="D430" s="350"/>
      <c r="E430" s="350"/>
      <c r="F430" s="350"/>
      <c r="G430" s="347"/>
      <c r="H430" s="123" t="str">
        <f>_xlfn.CONCAT(_xlfn.XLOOKUP("[S05_DefaultValues][228][FuelMaterialType]",Submission!$O:$O,Submission!$H:$N,""))</f>
        <v>Wasserstoff</v>
      </c>
      <c r="I430" s="106" t="str">
        <f>_xlfn.CONCAT(_xlfn.XLOOKUP("[S05_DefaultValues][228][InstallationNumber]",Submission!$O:$O,Submission!$H:$N,""))</f>
        <v>2</v>
      </c>
    </row>
    <row r="431" spans="1:9" ht="15.9" hidden="1" customHeight="1" outlineLevel="1" x14ac:dyDescent="0.3">
      <c r="A431" s="13"/>
      <c r="B431" s="34"/>
      <c r="C431" s="281" t="str">
        <f>_xlfn.CONCAT(_xlfn.XLOOKUP("[S05_DefaultValues][229][InstallationCategory]",Submission!$O:$O,Submission!$H:$N,""))</f>
        <v>Category B installation</v>
      </c>
      <c r="D431" s="350"/>
      <c r="E431" s="350"/>
      <c r="F431" s="350"/>
      <c r="G431" s="347"/>
      <c r="H431" s="123" t="str">
        <f>_xlfn.CONCAT(_xlfn.XLOOKUP("[S05_DefaultValues][229][FuelMaterialType]",Submission!$O:$O,Submission!$H:$N,""))</f>
        <v>zugekauftes Roheisen</v>
      </c>
      <c r="I431" s="106" t="str">
        <f>_xlfn.CONCAT(_xlfn.XLOOKUP("[S05_DefaultValues][229][InstallationNumber]",Submission!$O:$O,Submission!$H:$N,""))</f>
        <v>5</v>
      </c>
    </row>
    <row r="432" spans="1:9" ht="15.9" hidden="1" customHeight="1" outlineLevel="1" x14ac:dyDescent="0.3">
      <c r="A432" s="13"/>
      <c r="B432" s="34"/>
      <c r="C432" s="281" t="str">
        <f>_xlfn.CONCAT(_xlfn.XLOOKUP("[S05_DefaultValues][230][InstallationCategory]",Submission!$O:$O,Submission!$H:$N,""))</f>
        <v>Category C installation</v>
      </c>
      <c r="D432" s="350"/>
      <c r="E432" s="350"/>
      <c r="F432" s="350"/>
      <c r="G432" s="347"/>
      <c r="H432" s="123" t="str">
        <f>_xlfn.CONCAT(_xlfn.XLOOKUP("[S05_DefaultValues][230][FuelMaterialType]",Submission!$O:$O,Submission!$H:$N,""))</f>
        <v>Altkunststoff</v>
      </c>
      <c r="I432" s="106" t="str">
        <f>_xlfn.CONCAT(_xlfn.XLOOKUP("[S05_DefaultValues][230][InstallationNumber]",Submission!$O:$O,Submission!$H:$N,""))</f>
        <v>1</v>
      </c>
    </row>
    <row r="433" spans="1:9" ht="15.9" hidden="1" customHeight="1" outlineLevel="1" x14ac:dyDescent="0.3">
      <c r="A433" s="13"/>
      <c r="B433" s="34"/>
      <c r="C433" s="281" t="str">
        <f>_xlfn.CONCAT(_xlfn.XLOOKUP("[S05_DefaultValues][231][InstallationCategory]",Submission!$O:$O,Submission!$H:$N,""))</f>
        <v>Category C installation</v>
      </c>
      <c r="D433" s="350"/>
      <c r="E433" s="350"/>
      <c r="F433" s="350"/>
      <c r="G433" s="347"/>
      <c r="H433" s="123" t="str">
        <f>_xlfn.CONCAT(_xlfn.XLOOKUP("[S05_DefaultValues][231][FuelMaterialType]",Submission!$O:$O,Submission!$H:$N,""))</f>
        <v>Altöl</v>
      </c>
      <c r="I433" s="106" t="str">
        <f>_xlfn.CONCAT(_xlfn.XLOOKUP("[S05_DefaultValues][231][InstallationNumber]",Submission!$O:$O,Submission!$H:$N,""))</f>
        <v>3</v>
      </c>
    </row>
    <row r="434" spans="1:9" ht="15.9" hidden="1" customHeight="1" outlineLevel="1" x14ac:dyDescent="0.3">
      <c r="A434" s="13"/>
      <c r="B434" s="34"/>
      <c r="C434" s="281" t="str">
        <f>_xlfn.CONCAT(_xlfn.XLOOKUP("[S05_DefaultValues][232][InstallationCategory]",Submission!$O:$O,Submission!$H:$N,""))</f>
        <v>Category C installation</v>
      </c>
      <c r="D434" s="350"/>
      <c r="E434" s="350"/>
      <c r="F434" s="350"/>
      <c r="G434" s="347"/>
      <c r="H434" s="123" t="str">
        <f>_xlfn.CONCAT(_xlfn.XLOOKUP("[S05_DefaultValues][232][FuelMaterialType]",Submission!$O:$O,Submission!$H:$N,""))</f>
        <v>Altreifen</v>
      </c>
      <c r="I434" s="106" t="str">
        <f>_xlfn.CONCAT(_xlfn.XLOOKUP("[S05_DefaultValues][232][InstallationNumber]",Submission!$O:$O,Submission!$H:$N,""))</f>
        <v>11</v>
      </c>
    </row>
    <row r="435" spans="1:9" ht="15.9" hidden="1" customHeight="1" outlineLevel="1" x14ac:dyDescent="0.3">
      <c r="A435" s="13"/>
      <c r="B435" s="34"/>
      <c r="C435" s="281" t="str">
        <f>_xlfn.CONCAT(_xlfn.XLOOKUP("[S05_DefaultValues][233][InstallationCategory]",Submission!$O:$O,Submission!$H:$N,""))</f>
        <v>Category C installation</v>
      </c>
      <c r="D435" s="350"/>
      <c r="E435" s="350"/>
      <c r="F435" s="350"/>
      <c r="G435" s="347"/>
      <c r="H435" s="123" t="str">
        <f>_xlfn.CONCAT(_xlfn.XLOOKUP("[S05_DefaultValues][233][FuelMaterialType]",Submission!$O:$O,Submission!$H:$N,""))</f>
        <v>Ammoniak</v>
      </c>
      <c r="I435" s="106" t="str">
        <f>_xlfn.CONCAT(_xlfn.XLOOKUP("[S05_DefaultValues][233][InstallationNumber]",Submission!$O:$O,Submission!$H:$N,""))</f>
        <v>1</v>
      </c>
    </row>
    <row r="436" spans="1:9" ht="15.9" hidden="1" customHeight="1" outlineLevel="1" x14ac:dyDescent="0.3">
      <c r="A436" s="13"/>
      <c r="B436" s="34"/>
      <c r="C436" s="281" t="str">
        <f>_xlfn.CONCAT(_xlfn.XLOOKUP("[S05_DefaultValues][234][InstallationCategory]",Submission!$O:$O,Submission!$H:$N,""))</f>
        <v>Category C installation</v>
      </c>
      <c r="D436" s="350"/>
      <c r="E436" s="350"/>
      <c r="F436" s="350"/>
      <c r="G436" s="347"/>
      <c r="H436" s="123" t="str">
        <f>_xlfn.CONCAT(_xlfn.XLOOKUP("[S05_DefaultValues][234][FuelMaterialType]",Submission!$O:$O,Submission!$H:$N,""))</f>
        <v>Andere Mineralölprodukte in [t]</v>
      </c>
      <c r="I436" s="106" t="str">
        <f>_xlfn.CONCAT(_xlfn.XLOOKUP("[S05_DefaultValues][234][InstallationNumber]",Submission!$O:$O,Submission!$H:$N,""))</f>
        <v>3</v>
      </c>
    </row>
    <row r="437" spans="1:9" ht="15.9" hidden="1" customHeight="1" outlineLevel="1" x14ac:dyDescent="0.3">
      <c r="A437" s="13"/>
      <c r="B437" s="34"/>
      <c r="C437" s="281" t="str">
        <f>_xlfn.CONCAT(_xlfn.XLOOKUP("[S05_DefaultValues][235][InstallationCategory]",Submission!$O:$O,Submission!$H:$N,""))</f>
        <v>Category C installation</v>
      </c>
      <c r="D437" s="350"/>
      <c r="E437" s="350"/>
      <c r="F437" s="350"/>
      <c r="G437" s="347"/>
      <c r="H437" s="123" t="str">
        <f>_xlfn.CONCAT(_xlfn.XLOOKUP("[S05_DefaultValues][235][FuelMaterialType]",Submission!$O:$O,Submission!$H:$N,""))</f>
        <v>Anthrazit (Wärmeerzeugung)</v>
      </c>
      <c r="I437" s="106" t="str">
        <f>_xlfn.CONCAT(_xlfn.XLOOKUP("[S05_DefaultValues][235][InstallationNumber]",Submission!$O:$O,Submission!$H:$N,""))</f>
        <v>2</v>
      </c>
    </row>
    <row r="438" spans="1:9" ht="15.9" hidden="1" customHeight="1" outlineLevel="1" x14ac:dyDescent="0.3">
      <c r="A438" s="13"/>
      <c r="B438" s="34"/>
      <c r="C438" s="281" t="str">
        <f>_xlfn.CONCAT(_xlfn.XLOOKUP("[S05_DefaultValues][236][InstallationCategory]",Submission!$O:$O,Submission!$H:$N,""))</f>
        <v>Category C installation</v>
      </c>
      <c r="D438" s="350"/>
      <c r="E438" s="350"/>
      <c r="F438" s="350"/>
      <c r="G438" s="347"/>
      <c r="H438" s="123" t="str">
        <f>_xlfn.CONCAT(_xlfn.XLOOKUP("[S05_DefaultValues][236][FuelMaterialType]",Submission!$O:$O,Submission!$H:$N,""))</f>
        <v>Biomasse-Brennstoff, Brennholz</v>
      </c>
      <c r="I438" s="106" t="str">
        <f>_xlfn.CONCAT(_xlfn.XLOOKUP("[S05_DefaultValues][236][InstallationNumber]",Submission!$O:$O,Submission!$H:$N,""))</f>
        <v>2</v>
      </c>
    </row>
    <row r="439" spans="1:9" ht="15.9" hidden="1" customHeight="1" outlineLevel="1" x14ac:dyDescent="0.3">
      <c r="A439" s="13"/>
      <c r="B439" s="34"/>
      <c r="C439" s="281" t="str">
        <f>_xlfn.CONCAT(_xlfn.XLOOKUP("[S05_DefaultValues][237][InstallationCategory]",Submission!$O:$O,Submission!$H:$N,""))</f>
        <v>Category C installation</v>
      </c>
      <c r="D439" s="350"/>
      <c r="E439" s="350"/>
      <c r="F439" s="350"/>
      <c r="G439" s="347"/>
      <c r="H439" s="123" t="str">
        <f>_xlfn.CONCAT(_xlfn.XLOOKUP("[S05_DefaultValues][237][FuelMaterialType]",Submission!$O:$O,Submission!$H:$N,""))</f>
        <v>Biomasse-Brennstoff, Sonstige in [t]</v>
      </c>
      <c r="I439" s="106" t="str">
        <f>_xlfn.CONCAT(_xlfn.XLOOKUP("[S05_DefaultValues][237][InstallationNumber]",Submission!$O:$O,Submission!$H:$N,""))</f>
        <v>1</v>
      </c>
    </row>
    <row r="440" spans="1:9" ht="15.9" hidden="1" customHeight="1" outlineLevel="1" x14ac:dyDescent="0.3">
      <c r="A440" s="13"/>
      <c r="B440" s="34"/>
      <c r="C440" s="281" t="str">
        <f>_xlfn.CONCAT(_xlfn.XLOOKUP("[S05_DefaultValues][238][InstallationCategory]",Submission!$O:$O,Submission!$H:$N,""))</f>
        <v>Category C installation</v>
      </c>
      <c r="D440" s="350"/>
      <c r="E440" s="350"/>
      <c r="F440" s="350"/>
      <c r="G440" s="347"/>
      <c r="H440" s="123" t="str">
        <f>_xlfn.CONCAT(_xlfn.XLOOKUP("[S05_DefaultValues][238][FuelMaterialType]",Submission!$O:$O,Submission!$H:$N,""))</f>
        <v>Biomasse-Brennstoff, Tiermehle und -fette</v>
      </c>
      <c r="I440" s="106" t="str">
        <f>_xlfn.CONCAT(_xlfn.XLOOKUP("[S05_DefaultValues][238][InstallationNumber]",Submission!$O:$O,Submission!$H:$N,""))</f>
        <v>1</v>
      </c>
    </row>
    <row r="441" spans="1:9" ht="15.9" hidden="1" customHeight="1" outlineLevel="1" x14ac:dyDescent="0.3">
      <c r="A441" s="13"/>
      <c r="B441" s="34"/>
      <c r="C441" s="281" t="str">
        <f>_xlfn.CONCAT(_xlfn.XLOOKUP("[S05_DefaultValues][239][InstallationCategory]",Submission!$O:$O,Submission!$H:$N,""))</f>
        <v>Category C installation</v>
      </c>
      <c r="D441" s="350"/>
      <c r="E441" s="350"/>
      <c r="F441" s="350"/>
      <c r="G441" s="347"/>
      <c r="H441" s="123" t="str">
        <f>_xlfn.CONCAT(_xlfn.XLOOKUP("[S05_DefaultValues][239][FuelMaterialType]",Submission!$O:$O,Submission!$H:$N,""))</f>
        <v>Braunkohlenkoks</v>
      </c>
      <c r="I441" s="106" t="str">
        <f>_xlfn.CONCAT(_xlfn.XLOOKUP("[S05_DefaultValues][239][InstallationNumber]",Submission!$O:$O,Submission!$H:$N,""))</f>
        <v>2</v>
      </c>
    </row>
    <row r="442" spans="1:9" ht="15.9" hidden="1" customHeight="1" outlineLevel="1" x14ac:dyDescent="0.3">
      <c r="A442" s="13"/>
      <c r="B442" s="34"/>
      <c r="C442" s="281" t="str">
        <f>_xlfn.CONCAT(_xlfn.XLOOKUP("[S05_DefaultValues][240][InstallationCategory]",Submission!$O:$O,Submission!$H:$N,""))</f>
        <v>Category C installation</v>
      </c>
      <c r="D442" s="350"/>
      <c r="E442" s="350"/>
      <c r="F442" s="350"/>
      <c r="G442" s="347"/>
      <c r="H442" s="123" t="str">
        <f>_xlfn.CONCAT(_xlfn.XLOOKUP("[S05_DefaultValues][240][FuelMaterialType]",Submission!$O:$O,Submission!$H:$N,""))</f>
        <v>Braunkohlenstaub Lausitz</v>
      </c>
      <c r="I442" s="106" t="str">
        <f>_xlfn.CONCAT(_xlfn.XLOOKUP("[S05_DefaultValues][240][InstallationNumber]",Submission!$O:$O,Submission!$H:$N,""))</f>
        <v>1</v>
      </c>
    </row>
    <row r="443" spans="1:9" ht="15.9" hidden="1" customHeight="1" outlineLevel="1" x14ac:dyDescent="0.3">
      <c r="A443" s="13"/>
      <c r="B443" s="34"/>
      <c r="C443" s="281" t="str">
        <f>_xlfn.CONCAT(_xlfn.XLOOKUP("[S05_DefaultValues][241][InstallationCategory]",Submission!$O:$O,Submission!$H:$N,""))</f>
        <v>Category C installation</v>
      </c>
      <c r="D443" s="350"/>
      <c r="E443" s="350"/>
      <c r="F443" s="350"/>
      <c r="G443" s="347"/>
      <c r="H443" s="123" t="str">
        <f>_xlfn.CONCAT(_xlfn.XLOOKUP("[S05_DefaultValues][241][FuelMaterialType]",Submission!$O:$O,Submission!$H:$N,""))</f>
        <v>Ca(OH)2</v>
      </c>
      <c r="I443" s="106" t="str">
        <f>_xlfn.CONCAT(_xlfn.XLOOKUP("[S05_DefaultValues][241][InstallationNumber]",Submission!$O:$O,Submission!$H:$N,""))</f>
        <v>3</v>
      </c>
    </row>
    <row r="444" spans="1:9" ht="15.9" hidden="1" customHeight="1" outlineLevel="1" x14ac:dyDescent="0.3">
      <c r="A444" s="13"/>
      <c r="B444" s="34"/>
      <c r="C444" s="281" t="str">
        <f>_xlfn.CONCAT(_xlfn.XLOOKUP("[S05_DefaultValues][242][InstallationCategory]",Submission!$O:$O,Submission!$H:$N,""))</f>
        <v>Category C installation</v>
      </c>
      <c r="D444" s="350"/>
      <c r="E444" s="350"/>
      <c r="F444" s="350"/>
      <c r="G444" s="347"/>
      <c r="H444" s="123" t="str">
        <f>_xlfn.CONCAT(_xlfn.XLOOKUP("[S05_DefaultValues][242][FuelMaterialType]",Submission!$O:$O,Submission!$H:$N,""))</f>
        <v>CaCO3</v>
      </c>
      <c r="I444" s="106" t="str">
        <f>_xlfn.CONCAT(_xlfn.XLOOKUP("[S05_DefaultValues][242][InstallationNumber]",Submission!$O:$O,Submission!$H:$N,""))</f>
        <v>32</v>
      </c>
    </row>
    <row r="445" spans="1:9" ht="15.9" hidden="1" customHeight="1" outlineLevel="1" x14ac:dyDescent="0.3">
      <c r="A445" s="13"/>
      <c r="B445" s="34"/>
      <c r="C445" s="281" t="str">
        <f>_xlfn.CONCAT(_xlfn.XLOOKUP("[S05_DefaultValues][243][InstallationCategory]",Submission!$O:$O,Submission!$H:$N,""))</f>
        <v>Category C installation</v>
      </c>
      <c r="D445" s="350"/>
      <c r="E445" s="350"/>
      <c r="F445" s="350"/>
      <c r="G445" s="347"/>
      <c r="H445" s="123" t="str">
        <f>_xlfn.CONCAT(_xlfn.XLOOKUP("[S05_DefaultValues][243][FuelMaterialType]",Submission!$O:$O,Submission!$H:$N,""))</f>
        <v>CaO</v>
      </c>
      <c r="I445" s="106" t="str">
        <f>_xlfn.CONCAT(_xlfn.XLOOKUP("[S05_DefaultValues][243][InstallationNumber]",Submission!$O:$O,Submission!$H:$N,""))</f>
        <v>2</v>
      </c>
    </row>
    <row r="446" spans="1:9" ht="15.9" hidden="1" customHeight="1" outlineLevel="1" x14ac:dyDescent="0.3">
      <c r="A446" s="13"/>
      <c r="B446" s="34"/>
      <c r="C446" s="281" t="str">
        <f>_xlfn.CONCAT(_xlfn.XLOOKUP("[S05_DefaultValues][244][InstallationCategory]",Submission!$O:$O,Submission!$H:$N,""))</f>
        <v>Category C installation</v>
      </c>
      <c r="D446" s="350"/>
      <c r="E446" s="350"/>
      <c r="F446" s="350"/>
      <c r="G446" s="347"/>
      <c r="H446" s="123" t="str">
        <f>_xlfn.CONCAT(_xlfn.XLOOKUP("[S05_DefaultValues][244][FuelMaterialType]",Submission!$O:$O,Submission!$H:$N,""))</f>
        <v>Claus-Einsatzgas</v>
      </c>
      <c r="I446" s="106" t="str">
        <f>_xlfn.CONCAT(_xlfn.XLOOKUP("[S05_DefaultValues][244][InstallationNumber]",Submission!$O:$O,Submission!$H:$N,""))</f>
        <v>2</v>
      </c>
    </row>
    <row r="447" spans="1:9" ht="15.9" hidden="1" customHeight="1" outlineLevel="1" x14ac:dyDescent="0.3">
      <c r="A447" s="13"/>
      <c r="B447" s="34"/>
      <c r="C447" s="281" t="str">
        <f>_xlfn.CONCAT(_xlfn.XLOOKUP("[S05_DefaultValues][245][InstallationCategory]",Submission!$O:$O,Submission!$H:$N,""))</f>
        <v>Category C installation</v>
      </c>
      <c r="D447" s="350"/>
      <c r="E447" s="350"/>
      <c r="F447" s="350"/>
      <c r="G447" s="347"/>
      <c r="H447" s="123" t="str">
        <f>_xlfn.CONCAT(_xlfn.XLOOKUP("[S05_DefaultValues][245][FuelMaterialType]",Submission!$O:$O,Submission!$H:$N,""))</f>
        <v>Claus-Einsatzgas in [t]</v>
      </c>
      <c r="I447" s="106" t="str">
        <f>_xlfn.CONCAT(_xlfn.XLOOKUP("[S05_DefaultValues][245][InstallationNumber]",Submission!$O:$O,Submission!$H:$N,""))</f>
        <v>1</v>
      </c>
    </row>
    <row r="448" spans="1:9" ht="15.9" hidden="1" customHeight="1" outlineLevel="1" x14ac:dyDescent="0.3">
      <c r="A448" s="13"/>
      <c r="B448" s="34"/>
      <c r="C448" s="281" t="str">
        <f>_xlfn.CONCAT(_xlfn.XLOOKUP("[S05_DefaultValues][246][InstallationCategory]",Submission!$O:$O,Submission!$H:$N,""))</f>
        <v>Category C installation</v>
      </c>
      <c r="D448" s="350"/>
      <c r="E448" s="350"/>
      <c r="F448" s="350"/>
      <c r="G448" s="347"/>
      <c r="H448" s="123" t="str">
        <f>_xlfn.CONCAT(_xlfn.XLOOKUP("[S05_DefaultValues][246][FuelMaterialType]",Submission!$O:$O,Submission!$H:$N,""))</f>
        <v>Dieselkraftstoff</v>
      </c>
      <c r="I448" s="106" t="str">
        <f>_xlfn.CONCAT(_xlfn.XLOOKUP("[S05_DefaultValues][246][InstallationNumber]",Submission!$O:$O,Submission!$H:$N,""))</f>
        <v>77</v>
      </c>
    </row>
    <row r="449" spans="1:9" ht="15.9" hidden="1" customHeight="1" outlineLevel="1" x14ac:dyDescent="0.3">
      <c r="A449" s="13"/>
      <c r="B449" s="34"/>
      <c r="C449" s="281" t="str">
        <f>_xlfn.CONCAT(_xlfn.XLOOKUP("[S05_DefaultValues][247][InstallationCategory]",Submission!$O:$O,Submission!$H:$N,""))</f>
        <v>Category C installation</v>
      </c>
      <c r="D449" s="350"/>
      <c r="E449" s="350"/>
      <c r="F449" s="350"/>
      <c r="G449" s="347"/>
      <c r="H449" s="123" t="str">
        <f>_xlfn.CONCAT(_xlfn.XLOOKUP("[S05_DefaultValues][247][FuelMaterialType]",Submission!$O:$O,Submission!$H:$N,""))</f>
        <v>Dolomit</v>
      </c>
      <c r="I449" s="106" t="str">
        <f>_xlfn.CONCAT(_xlfn.XLOOKUP("[S05_DefaultValues][247][InstallationNumber]",Submission!$O:$O,Submission!$H:$N,""))</f>
        <v>1</v>
      </c>
    </row>
    <row r="450" spans="1:9" ht="15.9" hidden="1" customHeight="1" outlineLevel="1" x14ac:dyDescent="0.3">
      <c r="A450" s="13"/>
      <c r="B450" s="34"/>
      <c r="C450" s="281" t="str">
        <f>_xlfn.CONCAT(_xlfn.XLOOKUP("[S05_DefaultValues][248][InstallationCategory]",Submission!$O:$O,Submission!$H:$N,""))</f>
        <v>Category C installation</v>
      </c>
      <c r="D450" s="350"/>
      <c r="E450" s="350"/>
      <c r="F450" s="350"/>
      <c r="G450" s="347"/>
      <c r="H450" s="123" t="str">
        <f>_xlfn.CONCAT(_xlfn.XLOOKUP("[S05_DefaultValues][248][FuelMaterialType]",Submission!$O:$O,Submission!$H:$N,""))</f>
        <v>Eisenerz</v>
      </c>
      <c r="I450" s="106" t="str">
        <f>_xlfn.CONCAT(_xlfn.XLOOKUP("[S05_DefaultValues][248][InstallationNumber]",Submission!$O:$O,Submission!$H:$N,""))</f>
        <v>1</v>
      </c>
    </row>
    <row r="451" spans="1:9" ht="15.9" hidden="1" customHeight="1" outlineLevel="1" x14ac:dyDescent="0.3">
      <c r="A451" s="13"/>
      <c r="B451" s="34"/>
      <c r="C451" s="281" t="str">
        <f>_xlfn.CONCAT(_xlfn.XLOOKUP("[S05_DefaultValues][249][InstallationCategory]",Submission!$O:$O,Submission!$H:$N,""))</f>
        <v>Category C installation</v>
      </c>
      <c r="D451" s="350"/>
      <c r="E451" s="350"/>
      <c r="F451" s="350"/>
      <c r="G451" s="347"/>
      <c r="H451" s="123" t="str">
        <f>_xlfn.CONCAT(_xlfn.XLOOKUP("[S05_DefaultValues][249][FuelMaterialType]",Submission!$O:$O,Submission!$H:$N,""))</f>
        <v>Eisenschrott</v>
      </c>
      <c r="I451" s="106" t="str">
        <f>_xlfn.CONCAT(_xlfn.XLOOKUP("[S05_DefaultValues][249][InstallationNumber]",Submission!$O:$O,Submission!$H:$N,""))</f>
        <v>1</v>
      </c>
    </row>
    <row r="452" spans="1:9" ht="15.9" hidden="1" customHeight="1" outlineLevel="1" x14ac:dyDescent="0.3">
      <c r="A452" s="13"/>
      <c r="B452" s="34"/>
      <c r="C452" s="281" t="str">
        <f>_xlfn.CONCAT(_xlfn.XLOOKUP("[S05_DefaultValues][250][InstallationCategory]",Submission!$O:$O,Submission!$H:$N,""))</f>
        <v>Category C installation</v>
      </c>
      <c r="D452" s="350"/>
      <c r="E452" s="350"/>
      <c r="F452" s="350"/>
      <c r="G452" s="347"/>
      <c r="H452" s="123" t="str">
        <f>_xlfn.CONCAT(_xlfn.XLOOKUP("[S05_DefaultValues][250][FuelMaterialType]",Submission!$O:$O,Submission!$H:$N,""))</f>
        <v>Elektrodenabbrand/Anodenmaterial</v>
      </c>
      <c r="I452" s="106" t="str">
        <f>_xlfn.CONCAT(_xlfn.XLOOKUP("[S05_DefaultValues][250][InstallationNumber]",Submission!$O:$O,Submission!$H:$N,""))</f>
        <v>3</v>
      </c>
    </row>
    <row r="453" spans="1:9" ht="15.9" hidden="1" customHeight="1" outlineLevel="1" x14ac:dyDescent="0.3">
      <c r="A453" s="13"/>
      <c r="B453" s="34"/>
      <c r="C453" s="281" t="str">
        <f>_xlfn.CONCAT(_xlfn.XLOOKUP("[S05_DefaultValues][251][InstallationCategory]",Submission!$O:$O,Submission!$H:$N,""))</f>
        <v>Category C installation</v>
      </c>
      <c r="D453" s="350"/>
      <c r="E453" s="350"/>
      <c r="F453" s="350"/>
      <c r="G453" s="347"/>
      <c r="H453" s="123" t="str">
        <f>_xlfn.CONCAT(_xlfn.XLOOKUP("[S05_DefaultValues][251][FuelMaterialType]",Submission!$O:$O,Submission!$H:$N,""))</f>
        <v>Erdgas H</v>
      </c>
      <c r="I453" s="106" t="str">
        <f>_xlfn.CONCAT(_xlfn.XLOOKUP("[S05_DefaultValues][251][InstallationNumber]",Submission!$O:$O,Submission!$H:$N,""))</f>
        <v>23</v>
      </c>
    </row>
    <row r="454" spans="1:9" ht="15.9" hidden="1" customHeight="1" outlineLevel="1" x14ac:dyDescent="0.3">
      <c r="A454" s="13"/>
      <c r="B454" s="34"/>
      <c r="C454" s="281" t="str">
        <f>_xlfn.CONCAT(_xlfn.XLOOKUP("[S05_DefaultValues][252][InstallationCategory]",Submission!$O:$O,Submission!$H:$N,""))</f>
        <v>Category C installation</v>
      </c>
      <c r="D454" s="350"/>
      <c r="E454" s="350"/>
      <c r="F454" s="350"/>
      <c r="G454" s="347"/>
      <c r="H454" s="123" t="str">
        <f>_xlfn.CONCAT(_xlfn.XLOOKUP("[S05_DefaultValues][252][FuelMaterialType]",Submission!$O:$O,Submission!$H:$N,""))</f>
        <v>Erdgas L</v>
      </c>
      <c r="I454" s="106" t="str">
        <f>_xlfn.CONCAT(_xlfn.XLOOKUP("[S05_DefaultValues][252][InstallationNumber]",Submission!$O:$O,Submission!$H:$N,""))</f>
        <v>1</v>
      </c>
    </row>
    <row r="455" spans="1:9" ht="15.9" hidden="1" customHeight="1" outlineLevel="1" x14ac:dyDescent="0.3">
      <c r="A455" s="13"/>
      <c r="B455" s="34"/>
      <c r="C455" s="281" t="str">
        <f>_xlfn.CONCAT(_xlfn.XLOOKUP("[S05_DefaultValues][253][InstallationCategory]",Submission!$O:$O,Submission!$H:$N,""))</f>
        <v>Category C installation</v>
      </c>
      <c r="D455" s="350"/>
      <c r="E455" s="350"/>
      <c r="F455" s="350"/>
      <c r="G455" s="347"/>
      <c r="H455" s="123" t="str">
        <f>_xlfn.CONCAT(_xlfn.XLOOKUP("[S05_DefaultValues][253][FuelMaterialType]",Submission!$O:$O,Submission!$H:$N,""))</f>
        <v>Ersatzwert für Festbrennstoff</v>
      </c>
      <c r="I455" s="106" t="str">
        <f>_xlfn.CONCAT(_xlfn.XLOOKUP("[S05_DefaultValues][253][InstallationNumber]",Submission!$O:$O,Submission!$H:$N,""))</f>
        <v>4</v>
      </c>
    </row>
    <row r="456" spans="1:9" ht="15.9" hidden="1" customHeight="1" outlineLevel="1" x14ac:dyDescent="0.3">
      <c r="A456" s="13"/>
      <c r="B456" s="34"/>
      <c r="C456" s="281" t="str">
        <f>_xlfn.CONCAT(_xlfn.XLOOKUP("[S05_DefaultValues][254][InstallationCategory]",Submission!$O:$O,Submission!$H:$N,""))</f>
        <v>Category C installation</v>
      </c>
      <c r="D456" s="350"/>
      <c r="E456" s="350"/>
      <c r="F456" s="350"/>
      <c r="G456" s="347"/>
      <c r="H456" s="123" t="str">
        <f>_xlfn.CONCAT(_xlfn.XLOOKUP("[S05_DefaultValues][254][FuelMaterialType]",Submission!$O:$O,Submission!$H:$N,""))</f>
        <v>Ersatzwert für feste Stoffe</v>
      </c>
      <c r="I456" s="106" t="str">
        <f>_xlfn.CONCAT(_xlfn.XLOOKUP("[S05_DefaultValues][254][InstallationNumber]",Submission!$O:$O,Submission!$H:$N,""))</f>
        <v>7</v>
      </c>
    </row>
    <row r="457" spans="1:9" ht="15.9" hidden="1" customHeight="1" outlineLevel="1" x14ac:dyDescent="0.3">
      <c r="A457" s="13"/>
      <c r="B457" s="34"/>
      <c r="C457" s="281" t="str">
        <f>_xlfn.CONCAT(_xlfn.XLOOKUP("[S05_DefaultValues][255][InstallationCategory]",Submission!$O:$O,Submission!$H:$N,""))</f>
        <v>Category C installation</v>
      </c>
      <c r="D457" s="350"/>
      <c r="E457" s="350"/>
      <c r="F457" s="350"/>
      <c r="G457" s="347"/>
      <c r="H457" s="123" t="str">
        <f>_xlfn.CONCAT(_xlfn.XLOOKUP("[S05_DefaultValues][255][FuelMaterialType]",Submission!$O:$O,Submission!$H:$N,""))</f>
        <v>Ersatzwert für Flüssigbrennstoff</v>
      </c>
      <c r="I457" s="106" t="str">
        <f>_xlfn.CONCAT(_xlfn.XLOOKUP("[S05_DefaultValues][255][InstallationNumber]",Submission!$O:$O,Submission!$H:$N,""))</f>
        <v>1</v>
      </c>
    </row>
    <row r="458" spans="1:9" ht="15.9" hidden="1" customHeight="1" outlineLevel="1" x14ac:dyDescent="0.3">
      <c r="A458" s="13"/>
      <c r="B458" s="34"/>
      <c r="C458" s="281" t="str">
        <f>_xlfn.CONCAT(_xlfn.XLOOKUP("[S05_DefaultValues][256][InstallationCategory]",Submission!$O:$O,Submission!$H:$N,""))</f>
        <v>Category C installation</v>
      </c>
      <c r="D458" s="350"/>
      <c r="E458" s="350"/>
      <c r="F458" s="350"/>
      <c r="G458" s="347"/>
      <c r="H458" s="123" t="str">
        <f>_xlfn.CONCAT(_xlfn.XLOOKUP("[S05_DefaultValues][256][FuelMaterialType]",Submission!$O:$O,Submission!$H:$N,""))</f>
        <v>Ersatzwert für flüssige Stoffe</v>
      </c>
      <c r="I458" s="106" t="str">
        <f>_xlfn.CONCAT(_xlfn.XLOOKUP("[S05_DefaultValues][256][InstallationNumber]",Submission!$O:$O,Submission!$H:$N,""))</f>
        <v>3</v>
      </c>
    </row>
    <row r="459" spans="1:9" ht="15.9" hidden="1" customHeight="1" outlineLevel="1" x14ac:dyDescent="0.3">
      <c r="A459" s="13"/>
      <c r="B459" s="34"/>
      <c r="C459" s="281" t="str">
        <f>_xlfn.CONCAT(_xlfn.XLOOKUP("[S05_DefaultValues][257][InstallationCategory]",Submission!$O:$O,Submission!$H:$N,""))</f>
        <v>Category C installation</v>
      </c>
      <c r="D459" s="350"/>
      <c r="E459" s="350"/>
      <c r="F459" s="350"/>
      <c r="G459" s="347"/>
      <c r="H459" s="123" t="str">
        <f>_xlfn.CONCAT(_xlfn.XLOOKUP("[S05_DefaultValues][257][FuelMaterialType]",Submission!$O:$O,Submission!$H:$N,""))</f>
        <v>Ersatzwert für gasförmige Stoffe</v>
      </c>
      <c r="I459" s="106" t="str">
        <f>_xlfn.CONCAT(_xlfn.XLOOKUP("[S05_DefaultValues][257][InstallationNumber]",Submission!$O:$O,Submission!$H:$N,""))</f>
        <v>4</v>
      </c>
    </row>
    <row r="460" spans="1:9" ht="15.9" hidden="1" customHeight="1" outlineLevel="1" x14ac:dyDescent="0.3">
      <c r="A460" s="13"/>
      <c r="B460" s="34"/>
      <c r="C460" s="281" t="str">
        <f>_xlfn.CONCAT(_xlfn.XLOOKUP("[S05_DefaultValues][258][InstallationCategory]",Submission!$O:$O,Submission!$H:$N,""))</f>
        <v>Category C installation</v>
      </c>
      <c r="D460" s="350"/>
      <c r="E460" s="350"/>
      <c r="F460" s="350"/>
      <c r="G460" s="347"/>
      <c r="H460" s="123" t="str">
        <f>_xlfn.CONCAT(_xlfn.XLOOKUP("[S05_DefaultValues][258][FuelMaterialType]",Submission!$O:$O,Submission!$H:$N,""))</f>
        <v>Ersatzwert für gasförmige Stoffe in [t]</v>
      </c>
      <c r="I460" s="106" t="str">
        <f>_xlfn.CONCAT(_xlfn.XLOOKUP("[S05_DefaultValues][258][InstallationNumber]",Submission!$O:$O,Submission!$H:$N,""))</f>
        <v>3</v>
      </c>
    </row>
    <row r="461" spans="1:9" ht="15.9" hidden="1" customHeight="1" outlineLevel="1" x14ac:dyDescent="0.3">
      <c r="A461" s="13"/>
      <c r="B461" s="34"/>
      <c r="C461" s="281" t="str">
        <f>_xlfn.CONCAT(_xlfn.XLOOKUP("[S05_DefaultValues][259][InstallationCategory]",Submission!$O:$O,Submission!$H:$N,""))</f>
        <v>Category C installation</v>
      </c>
      <c r="D461" s="350"/>
      <c r="E461" s="350"/>
      <c r="F461" s="350"/>
      <c r="G461" s="347"/>
      <c r="H461" s="123" t="str">
        <f>_xlfn.CONCAT(_xlfn.XLOOKUP("[S05_DefaultValues][259][FuelMaterialType]",Submission!$O:$O,Submission!$H:$N,""))</f>
        <v>Ersatzwert für gasförmigen Brennstoff in [1000 Nm³]</v>
      </c>
      <c r="I461" s="106" t="str">
        <f>_xlfn.CONCAT(_xlfn.XLOOKUP("[S05_DefaultValues][259][InstallationNumber]",Submission!$O:$O,Submission!$H:$N,""))</f>
        <v>7</v>
      </c>
    </row>
    <row r="462" spans="1:9" ht="15.9" hidden="1" customHeight="1" outlineLevel="1" x14ac:dyDescent="0.3">
      <c r="A462" s="13"/>
      <c r="B462" s="34"/>
      <c r="C462" s="281" t="str">
        <f>_xlfn.CONCAT(_xlfn.XLOOKUP("[S05_DefaultValues][260][InstallationCategory]",Submission!$O:$O,Submission!$H:$N,""))</f>
        <v>Category C installation</v>
      </c>
      <c r="D462" s="350"/>
      <c r="E462" s="350"/>
      <c r="F462" s="350"/>
      <c r="G462" s="347"/>
      <c r="H462" s="123" t="str">
        <f>_xlfn.CONCAT(_xlfn.XLOOKUP("[S05_DefaultValues][260][FuelMaterialType]",Submission!$O:$O,Submission!$H:$N,""))</f>
        <v>Ersatzwert für gasförmigen Brennstoff in [t]</v>
      </c>
      <c r="I462" s="106" t="str">
        <f>_xlfn.CONCAT(_xlfn.XLOOKUP("[S05_DefaultValues][260][InstallationNumber]",Submission!$O:$O,Submission!$H:$N,""))</f>
        <v>4</v>
      </c>
    </row>
    <row r="463" spans="1:9" ht="15.9" hidden="1" customHeight="1" outlineLevel="1" x14ac:dyDescent="0.3">
      <c r="A463" s="13"/>
      <c r="B463" s="34"/>
      <c r="C463" s="281" t="str">
        <f>_xlfn.CONCAT(_xlfn.XLOOKUP("[S05_DefaultValues][261][InstallationCategory]",Submission!$O:$O,Submission!$H:$N,""))</f>
        <v>Category C installation</v>
      </c>
      <c r="D463" s="350"/>
      <c r="E463" s="350"/>
      <c r="F463" s="350"/>
      <c r="G463" s="347"/>
      <c r="H463" s="123" t="str">
        <f>_xlfn.CONCAT(_xlfn.XLOOKUP("[S05_DefaultValues][261][FuelMaterialType]",Submission!$O:$O,Submission!$H:$N,""))</f>
        <v>Ethan</v>
      </c>
      <c r="I463" s="106" t="str">
        <f>_xlfn.CONCAT(_xlfn.XLOOKUP("[S05_DefaultValues][261][InstallationNumber]",Submission!$O:$O,Submission!$H:$N,""))</f>
        <v>4</v>
      </c>
    </row>
    <row r="464" spans="1:9" ht="15.9" hidden="1" customHeight="1" outlineLevel="1" x14ac:dyDescent="0.3">
      <c r="A464" s="13"/>
      <c r="B464" s="34"/>
      <c r="C464" s="281" t="str">
        <f>_xlfn.CONCAT(_xlfn.XLOOKUP("[S05_DefaultValues][262][InstallationCategory]",Submission!$O:$O,Submission!$H:$N,""))</f>
        <v>Category C installation</v>
      </c>
      <c r="D464" s="350"/>
      <c r="E464" s="350"/>
      <c r="F464" s="350"/>
      <c r="G464" s="347"/>
      <c r="H464" s="123" t="str">
        <f>_xlfn.CONCAT(_xlfn.XLOOKUP("[S05_DefaultValues][262][FuelMaterialType]",Submission!$O:$O,Submission!$H:$N,""))</f>
        <v>Ethylen</v>
      </c>
      <c r="I464" s="106" t="str">
        <f>_xlfn.CONCAT(_xlfn.XLOOKUP("[S05_DefaultValues][262][InstallationNumber]",Submission!$O:$O,Submission!$H:$N,""))</f>
        <v>1</v>
      </c>
    </row>
    <row r="465" spans="1:9" ht="15.9" hidden="1" customHeight="1" outlineLevel="1" x14ac:dyDescent="0.3">
      <c r="A465" s="13"/>
      <c r="B465" s="34"/>
      <c r="C465" s="281" t="str">
        <f>_xlfn.CONCAT(_xlfn.XLOOKUP("[S05_DefaultValues][263][InstallationCategory]",Submission!$O:$O,Submission!$H:$N,""))</f>
        <v>Category C installation</v>
      </c>
      <c r="D465" s="350"/>
      <c r="E465" s="350"/>
      <c r="F465" s="350"/>
      <c r="G465" s="347"/>
      <c r="H465" s="123" t="str">
        <f>_xlfn.CONCAT(_xlfn.XLOOKUP("[S05_DefaultValues][263][FuelMaterialType]",Submission!$O:$O,Submission!$H:$N,""))</f>
        <v>Flüssiggas</v>
      </c>
      <c r="I465" s="106" t="str">
        <f>_xlfn.CONCAT(_xlfn.XLOOKUP("[S05_DefaultValues][263][InstallationNumber]",Submission!$O:$O,Submission!$H:$N,""))</f>
        <v>7</v>
      </c>
    </row>
    <row r="466" spans="1:9" ht="15.9" hidden="1" customHeight="1" outlineLevel="1" x14ac:dyDescent="0.3">
      <c r="A466" s="13"/>
      <c r="B466" s="34"/>
      <c r="C466" s="281" t="str">
        <f>_xlfn.CONCAT(_xlfn.XLOOKUP("[S05_DefaultValues][264][InstallationCategory]",Submission!$O:$O,Submission!$H:$N,""))</f>
        <v>Category C installation</v>
      </c>
      <c r="D466" s="350"/>
      <c r="E466" s="350"/>
      <c r="F466" s="350"/>
      <c r="G466" s="347"/>
      <c r="H466" s="123" t="str">
        <f>_xlfn.CONCAT(_xlfn.XLOOKUP("[S05_DefaultValues][264][FuelMaterialType]",Submission!$O:$O,Submission!$H:$N,""))</f>
        <v>Flüssiggas (100% Butan)</v>
      </c>
      <c r="I466" s="106" t="str">
        <f>_xlfn.CONCAT(_xlfn.XLOOKUP("[S05_DefaultValues][264][InstallationNumber]",Submission!$O:$O,Submission!$H:$N,""))</f>
        <v>5</v>
      </c>
    </row>
    <row r="467" spans="1:9" ht="15.9" hidden="1" customHeight="1" outlineLevel="1" x14ac:dyDescent="0.3">
      <c r="A467" s="13"/>
      <c r="B467" s="34"/>
      <c r="C467" s="281" t="str">
        <f>_xlfn.CONCAT(_xlfn.XLOOKUP("[S05_DefaultValues][265][InstallationCategory]",Submission!$O:$O,Submission!$H:$N,""))</f>
        <v>Category C installation</v>
      </c>
      <c r="D467" s="350"/>
      <c r="E467" s="350"/>
      <c r="F467" s="350"/>
      <c r="G467" s="347"/>
      <c r="H467" s="123" t="str">
        <f>_xlfn.CONCAT(_xlfn.XLOOKUP("[S05_DefaultValues][265][FuelMaterialType]",Submission!$O:$O,Submission!$H:$N,""))</f>
        <v>Flüssiggas (100% Propan)</v>
      </c>
      <c r="I467" s="106" t="str">
        <f>_xlfn.CONCAT(_xlfn.XLOOKUP("[S05_DefaultValues][265][InstallationNumber]",Submission!$O:$O,Submission!$H:$N,""))</f>
        <v>29</v>
      </c>
    </row>
    <row r="468" spans="1:9" ht="15.9" hidden="1" customHeight="1" outlineLevel="1" x14ac:dyDescent="0.3">
      <c r="A468" s="13"/>
      <c r="B468" s="34"/>
      <c r="C468" s="281" t="str">
        <f>_xlfn.CONCAT(_xlfn.XLOOKUP("[S05_DefaultValues][266][InstallationCategory]",Submission!$O:$O,Submission!$H:$N,""))</f>
        <v>Category C installation</v>
      </c>
      <c r="D468" s="350"/>
      <c r="E468" s="350"/>
      <c r="F468" s="350"/>
      <c r="G468" s="347"/>
      <c r="H468" s="123" t="str">
        <f>_xlfn.CONCAT(_xlfn.XLOOKUP("[S05_DefaultValues][266][FuelMaterialType]",Submission!$O:$O,Submission!$H:$N,""))</f>
        <v>Gips aus REA-Anlagen (bezogen auf CaCO3-Einsatz) CaSO4*2H2O</v>
      </c>
      <c r="I468" s="106" t="str">
        <f>_xlfn.CONCAT(_xlfn.XLOOKUP("[S05_DefaultValues][266][InstallationNumber]",Submission!$O:$O,Submission!$H:$N,""))</f>
        <v>1</v>
      </c>
    </row>
    <row r="469" spans="1:9" ht="15.9" hidden="1" customHeight="1" outlineLevel="1" x14ac:dyDescent="0.3">
      <c r="A469" s="13"/>
      <c r="B469" s="34"/>
      <c r="C469" s="281" t="str">
        <f>_xlfn.CONCAT(_xlfn.XLOOKUP("[S05_DefaultValues][267][InstallationCategory]",Submission!$O:$O,Submission!$H:$N,""))</f>
        <v>Category C installation</v>
      </c>
      <c r="D469" s="350"/>
      <c r="E469" s="350"/>
      <c r="F469" s="350"/>
      <c r="G469" s="347"/>
      <c r="H469" s="123" t="str">
        <f>_xlfn.CONCAT(_xlfn.XLOOKUP("[S05_DefaultValues][267][FuelMaterialType]",Submission!$O:$O,Submission!$H:$N,""))</f>
        <v>Harnstoff/Urea</v>
      </c>
      <c r="I469" s="106" t="str">
        <f>_xlfn.CONCAT(_xlfn.XLOOKUP("[S05_DefaultValues][267][InstallationNumber]",Submission!$O:$O,Submission!$H:$N,""))</f>
        <v>6</v>
      </c>
    </row>
    <row r="470" spans="1:9" ht="15.9" hidden="1" customHeight="1" outlineLevel="1" x14ac:dyDescent="0.3">
      <c r="A470" s="13"/>
      <c r="B470" s="34"/>
      <c r="C470" s="281" t="str">
        <f>_xlfn.CONCAT(_xlfn.XLOOKUP("[S05_DefaultValues][268][InstallationCategory]",Submission!$O:$O,Submission!$H:$N,""))</f>
        <v>Category C installation</v>
      </c>
      <c r="D470" s="350"/>
      <c r="E470" s="350"/>
      <c r="F470" s="350"/>
      <c r="G470" s="347"/>
      <c r="H470" s="123" t="str">
        <f>_xlfn.CONCAT(_xlfn.XLOOKUP("[S05_DefaultValues][268][FuelMaterialType]",Submission!$O:$O,Submission!$H:$N,""))</f>
        <v>Heizöl EL nach DIN 51603, Teil 1</v>
      </c>
      <c r="I470" s="106" t="str">
        <f>_xlfn.CONCAT(_xlfn.XLOOKUP("[S05_DefaultValues][268][InstallationNumber]",Submission!$O:$O,Submission!$H:$N,""))</f>
        <v>86</v>
      </c>
    </row>
    <row r="471" spans="1:9" ht="15.9" hidden="1" customHeight="1" outlineLevel="1" x14ac:dyDescent="0.3">
      <c r="A471" s="13"/>
      <c r="B471" s="34"/>
      <c r="C471" s="281" t="str">
        <f>_xlfn.CONCAT(_xlfn.XLOOKUP("[S05_DefaultValues][269][InstallationCategory]",Submission!$O:$O,Submission!$H:$N,""))</f>
        <v>Category C installation</v>
      </c>
      <c r="D471" s="350"/>
      <c r="E471" s="350"/>
      <c r="F471" s="350"/>
      <c r="G471" s="347"/>
      <c r="H471" s="123" t="str">
        <f>_xlfn.CONCAT(_xlfn.XLOOKUP("[S05_DefaultValues][269][FuelMaterialType]",Submission!$O:$O,Submission!$H:$N,""))</f>
        <v>Heizöl S nach DIN 51603, Teil 3</v>
      </c>
      <c r="I471" s="106" t="str">
        <f>_xlfn.CONCAT(_xlfn.XLOOKUP("[S05_DefaultValues][269][InstallationNumber]",Submission!$O:$O,Submission!$H:$N,""))</f>
        <v>23</v>
      </c>
    </row>
    <row r="472" spans="1:9" ht="15.9" hidden="1" customHeight="1" outlineLevel="1" x14ac:dyDescent="0.3">
      <c r="A472" s="13"/>
      <c r="B472" s="34"/>
      <c r="C472" s="281" t="str">
        <f>_xlfn.CONCAT(_xlfn.XLOOKUP("[S05_DefaultValues][270][InstallationCategory]",Submission!$O:$O,Submission!$H:$N,""))</f>
        <v>Category C installation</v>
      </c>
      <c r="D472" s="350"/>
      <c r="E472" s="350"/>
      <c r="F472" s="350"/>
      <c r="G472" s="347"/>
      <c r="H472" s="123" t="str">
        <f>_xlfn.CONCAT(_xlfn.XLOOKUP("[S05_DefaultValues][270][FuelMaterialType]",Submission!$O:$O,Submission!$H:$N,""))</f>
        <v>Kalziumkarbid/Calciumcarbid</v>
      </c>
      <c r="I472" s="106" t="str">
        <f>_xlfn.CONCAT(_xlfn.XLOOKUP("[S05_DefaultValues][270][InstallationNumber]",Submission!$O:$O,Submission!$H:$N,""))</f>
        <v>3</v>
      </c>
    </row>
    <row r="473" spans="1:9" ht="15.9" hidden="1" customHeight="1" outlineLevel="1" x14ac:dyDescent="0.3">
      <c r="A473" s="13"/>
      <c r="B473" s="34"/>
      <c r="C473" s="281" t="str">
        <f>_xlfn.CONCAT(_xlfn.XLOOKUP("[S05_DefaultValues][271][InstallationCategory]",Submission!$O:$O,Submission!$H:$N,""))</f>
        <v>Category C installation</v>
      </c>
      <c r="D473" s="350"/>
      <c r="E473" s="350"/>
      <c r="F473" s="350"/>
      <c r="G473" s="347"/>
      <c r="H473" s="123" t="str">
        <f>_xlfn.CONCAT(_xlfn.XLOOKUP("[S05_DefaultValues][271][FuelMaterialType]",Submission!$O:$O,Submission!$H:$N,""))</f>
        <v>Katalysatorkoks-Abbrand (Ersatzwert)</v>
      </c>
      <c r="I473" s="106" t="str">
        <f>_xlfn.CONCAT(_xlfn.XLOOKUP("[S05_DefaultValues][271][InstallationNumber]",Submission!$O:$O,Submission!$H:$N,""))</f>
        <v>4</v>
      </c>
    </row>
    <row r="474" spans="1:9" ht="15.9" hidden="1" customHeight="1" outlineLevel="1" x14ac:dyDescent="0.3">
      <c r="A474" s="13"/>
      <c r="B474" s="34"/>
      <c r="C474" s="281" t="str">
        <f>_xlfn.CONCAT(_xlfn.XLOOKUP("[S05_DefaultValues][272][InstallationCategory]",Submission!$O:$O,Submission!$H:$N,""))</f>
        <v>Category C installation</v>
      </c>
      <c r="D474" s="350"/>
      <c r="E474" s="350"/>
      <c r="F474" s="350"/>
      <c r="G474" s="347"/>
      <c r="H474" s="123" t="str">
        <f>_xlfn.CONCAT(_xlfn.XLOOKUP("[S05_DefaultValues][272][FuelMaterialType]",Submission!$O:$O,Submission!$H:$N,""))</f>
        <v>Klärschlamm</v>
      </c>
      <c r="I474" s="106" t="str">
        <f>_xlfn.CONCAT(_xlfn.XLOOKUP("[S05_DefaultValues][272][InstallationNumber]",Submission!$O:$O,Submission!$H:$N,""))</f>
        <v>2</v>
      </c>
    </row>
    <row r="475" spans="1:9" ht="15.9" hidden="1" customHeight="1" outlineLevel="1" x14ac:dyDescent="0.3">
      <c r="A475" s="13"/>
      <c r="B475" s="34"/>
      <c r="C475" s="281" t="str">
        <f>_xlfn.CONCAT(_xlfn.XLOOKUP("[S05_DefaultValues][273][InstallationCategory]",Submission!$O:$O,Submission!$H:$N,""))</f>
        <v>Category C installation</v>
      </c>
      <c r="D475" s="350"/>
      <c r="E475" s="350"/>
      <c r="F475" s="350"/>
      <c r="G475" s="347"/>
      <c r="H475" s="123" t="str">
        <f>_xlfn.CONCAT(_xlfn.XLOOKUP("[S05_DefaultValues][273][FuelMaterialType]",Submission!$O:$O,Submission!$H:$N,""))</f>
        <v>Kohlendioxid</v>
      </c>
      <c r="I475" s="106" t="str">
        <f>_xlfn.CONCAT(_xlfn.XLOOKUP("[S05_DefaultValues][273][InstallationNumber]",Submission!$O:$O,Submission!$H:$N,""))</f>
        <v>14</v>
      </c>
    </row>
    <row r="476" spans="1:9" ht="15.9" hidden="1" customHeight="1" outlineLevel="1" x14ac:dyDescent="0.3">
      <c r="A476" s="13"/>
      <c r="B476" s="34"/>
      <c r="C476" s="281" t="str">
        <f>_xlfn.CONCAT(_xlfn.XLOOKUP("[S05_DefaultValues][274][InstallationCategory]",Submission!$O:$O,Submission!$H:$N,""))</f>
        <v>Category C installation</v>
      </c>
      <c r="D476" s="350"/>
      <c r="E476" s="350"/>
      <c r="F476" s="350"/>
      <c r="G476" s="347"/>
      <c r="H476" s="123" t="str">
        <f>_xlfn.CONCAT(_xlfn.XLOOKUP("[S05_DefaultValues][274][FuelMaterialType]",Submission!$O:$O,Submission!$H:$N,""))</f>
        <v>Legierungsbestandteile</v>
      </c>
      <c r="I476" s="106" t="str">
        <f>_xlfn.CONCAT(_xlfn.XLOOKUP("[S05_DefaultValues][274][InstallationNumber]",Submission!$O:$O,Submission!$H:$N,""))</f>
        <v>1</v>
      </c>
    </row>
    <row r="477" spans="1:9" ht="15.9" hidden="1" customHeight="1" outlineLevel="1" x14ac:dyDescent="0.3">
      <c r="A477" s="13"/>
      <c r="B477" s="34"/>
      <c r="C477" s="281" t="str">
        <f>_xlfn.CONCAT(_xlfn.XLOOKUP("[S05_DefaultValues][275][InstallationCategory]",Submission!$O:$O,Submission!$H:$N,""))</f>
        <v>Category C installation</v>
      </c>
      <c r="D477" s="350"/>
      <c r="E477" s="350"/>
      <c r="F477" s="350"/>
      <c r="G477" s="347"/>
      <c r="H477" s="123" t="str">
        <f>_xlfn.CONCAT(_xlfn.XLOOKUP("[S05_DefaultValues][275][FuelMaterialType]",Submission!$O:$O,Submission!$H:$N,""))</f>
        <v>Lösemittel (Abfall)</v>
      </c>
      <c r="I477" s="106" t="str">
        <f>_xlfn.CONCAT(_xlfn.XLOOKUP("[S05_DefaultValues][275][InstallationNumber]",Submission!$O:$O,Submission!$H:$N,""))</f>
        <v>1</v>
      </c>
    </row>
    <row r="478" spans="1:9" ht="15.9" hidden="1" customHeight="1" outlineLevel="1" x14ac:dyDescent="0.3">
      <c r="A478" s="13"/>
      <c r="B478" s="34"/>
      <c r="C478" s="281" t="str">
        <f>_xlfn.CONCAT(_xlfn.XLOOKUP("[S05_DefaultValues][276][InstallationCategory]",Submission!$O:$O,Submission!$H:$N,""))</f>
        <v>Category C installation</v>
      </c>
      <c r="D478" s="350"/>
      <c r="E478" s="350"/>
      <c r="F478" s="350"/>
      <c r="G478" s="347"/>
      <c r="H478" s="123" t="str">
        <f>_xlfn.CONCAT(_xlfn.XLOOKUP("[S05_DefaultValues][276][FuelMaterialType]",Submission!$O:$O,Submission!$H:$N,""))</f>
        <v>Methan</v>
      </c>
      <c r="I478" s="106" t="str">
        <f>_xlfn.CONCAT(_xlfn.XLOOKUP("[S05_DefaultValues][276][InstallationNumber]",Submission!$O:$O,Submission!$H:$N,""))</f>
        <v>1</v>
      </c>
    </row>
    <row r="479" spans="1:9" ht="15.9" hidden="1" customHeight="1" outlineLevel="1" x14ac:dyDescent="0.3">
      <c r="A479" s="13"/>
      <c r="B479" s="34"/>
      <c r="C479" s="281" t="str">
        <f>_xlfn.CONCAT(_xlfn.XLOOKUP("[S05_DefaultValues][277][InstallationCategory]",Submission!$O:$O,Submission!$H:$N,""))</f>
        <v>Category C installation</v>
      </c>
      <c r="D479" s="350"/>
      <c r="E479" s="350"/>
      <c r="F479" s="350"/>
      <c r="G479" s="347"/>
      <c r="H479" s="123" t="str">
        <f>_xlfn.CONCAT(_xlfn.XLOOKUP("[S05_DefaultValues][277][FuelMaterialType]",Submission!$O:$O,Submission!$H:$N,""))</f>
        <v>Methanol</v>
      </c>
      <c r="I479" s="106" t="str">
        <f>_xlfn.CONCAT(_xlfn.XLOOKUP("[S05_DefaultValues][277][InstallationNumber]",Submission!$O:$O,Submission!$H:$N,""))</f>
        <v>1</v>
      </c>
    </row>
    <row r="480" spans="1:9" ht="15.9" hidden="1" customHeight="1" outlineLevel="1" x14ac:dyDescent="0.3">
      <c r="A480" s="13"/>
      <c r="B480" s="34"/>
      <c r="C480" s="281" t="str">
        <f>_xlfn.CONCAT(_xlfn.XLOOKUP("[S05_DefaultValues][278][InstallationCategory]",Submission!$O:$O,Submission!$H:$N,""))</f>
        <v>Category C installation</v>
      </c>
      <c r="D480" s="350"/>
      <c r="E480" s="350"/>
      <c r="F480" s="350"/>
      <c r="G480" s="347"/>
      <c r="H480" s="123" t="str">
        <f>_xlfn.CONCAT(_xlfn.XLOOKUP("[S05_DefaultValues][278][FuelMaterialType]",Submission!$O:$O,Submission!$H:$N,""))</f>
        <v>MgCO3</v>
      </c>
      <c r="I480" s="106" t="str">
        <f>_xlfn.CONCAT(_xlfn.XLOOKUP("[S05_DefaultValues][278][InstallationNumber]",Submission!$O:$O,Submission!$H:$N,""))</f>
        <v>8</v>
      </c>
    </row>
    <row r="481" spans="1:9" ht="15.9" hidden="1" customHeight="1" outlineLevel="1" x14ac:dyDescent="0.3">
      <c r="A481" s="13"/>
      <c r="B481" s="34"/>
      <c r="C481" s="281" t="str">
        <f>_xlfn.CONCAT(_xlfn.XLOOKUP("[S05_DefaultValues][279][InstallationCategory]",Submission!$O:$O,Submission!$H:$N,""))</f>
        <v>Category C installation</v>
      </c>
      <c r="D481" s="350"/>
      <c r="E481" s="350"/>
      <c r="F481" s="350"/>
      <c r="G481" s="347"/>
      <c r="H481" s="123" t="str">
        <f>_xlfn.CONCAT(_xlfn.XLOOKUP("[S05_DefaultValues][279][FuelMaterialType]",Submission!$O:$O,Submission!$H:$N,""))</f>
        <v>Na2CO3</v>
      </c>
      <c r="I481" s="106" t="str">
        <f>_xlfn.CONCAT(_xlfn.XLOOKUP("[S05_DefaultValues][279][InstallationNumber]",Submission!$O:$O,Submission!$H:$N,""))</f>
        <v>4</v>
      </c>
    </row>
    <row r="482" spans="1:9" ht="15.9" hidden="1" customHeight="1" outlineLevel="1" x14ac:dyDescent="0.3">
      <c r="A482" s="13"/>
      <c r="B482" s="34"/>
      <c r="C482" s="281" t="str">
        <f>_xlfn.CONCAT(_xlfn.XLOOKUP("[S05_DefaultValues][280][InstallationCategory]",Submission!$O:$O,Submission!$H:$N,""))</f>
        <v>Category C installation</v>
      </c>
      <c r="D482" s="350"/>
      <c r="E482" s="350"/>
      <c r="F482" s="350"/>
      <c r="G482" s="347"/>
      <c r="H482" s="123" t="str">
        <f>_xlfn.CONCAT(_xlfn.XLOOKUP("[S05_DefaultValues][280][FuelMaterialType]",Submission!$O:$O,Submission!$H:$N,""))</f>
        <v>NaHCO3</v>
      </c>
      <c r="I482" s="106" t="str">
        <f>_xlfn.CONCAT(_xlfn.XLOOKUP("[S05_DefaultValues][280][InstallationNumber]",Submission!$O:$O,Submission!$H:$N,""))</f>
        <v>2</v>
      </c>
    </row>
    <row r="483" spans="1:9" ht="15.9" hidden="1" customHeight="1" outlineLevel="1" x14ac:dyDescent="0.3">
      <c r="A483" s="13"/>
      <c r="B483" s="34"/>
      <c r="C483" s="281" t="str">
        <f>_xlfn.CONCAT(_xlfn.XLOOKUP("[S05_DefaultValues][281][InstallationCategory]",Submission!$O:$O,Submission!$H:$N,""))</f>
        <v>Category C installation</v>
      </c>
      <c r="D483" s="350"/>
      <c r="E483" s="350"/>
      <c r="F483" s="350"/>
      <c r="G483" s="347"/>
      <c r="H483" s="123" t="str">
        <f>_xlfn.CONCAT(_xlfn.XLOOKUP("[S05_DefaultValues][281][FuelMaterialType]",Submission!$O:$O,Submission!$H:$N,""))</f>
        <v>Ottokraftstoff</v>
      </c>
      <c r="I483" s="106" t="str">
        <f>_xlfn.CONCAT(_xlfn.XLOOKUP("[S05_DefaultValues][281][InstallationNumber]",Submission!$O:$O,Submission!$H:$N,""))</f>
        <v>1</v>
      </c>
    </row>
    <row r="484" spans="1:9" ht="15.9" hidden="1" customHeight="1" outlineLevel="1" x14ac:dyDescent="0.3">
      <c r="A484" s="13"/>
      <c r="B484" s="34"/>
      <c r="C484" s="281" t="str">
        <f>_xlfn.CONCAT(_xlfn.XLOOKUP("[S05_DefaultValues][282][InstallationCategory]",Submission!$O:$O,Submission!$H:$N,""))</f>
        <v>Category C installation</v>
      </c>
      <c r="D484" s="350"/>
      <c r="E484" s="350"/>
      <c r="F484" s="350"/>
      <c r="G484" s="347"/>
      <c r="H484" s="123" t="str">
        <f>_xlfn.CONCAT(_xlfn.XLOOKUP("[S05_DefaultValues][282][FuelMaterialType]",Submission!$O:$O,Submission!$H:$N,""))</f>
        <v>Petrolkoks</v>
      </c>
      <c r="I484" s="106" t="str">
        <f>_xlfn.CONCAT(_xlfn.XLOOKUP("[S05_DefaultValues][282][InstallationNumber]",Submission!$O:$O,Submission!$H:$N,""))</f>
        <v>1</v>
      </c>
    </row>
    <row r="485" spans="1:9" ht="15.9" hidden="1" customHeight="1" outlineLevel="1" x14ac:dyDescent="0.3">
      <c r="A485" s="13"/>
      <c r="B485" s="34"/>
      <c r="C485" s="281" t="str">
        <f>_xlfn.CONCAT(_xlfn.XLOOKUP("[S05_DefaultValues][283][InstallationCategory]",Submission!$O:$O,Submission!$H:$N,""))</f>
        <v>Category C installation</v>
      </c>
      <c r="D485" s="350"/>
      <c r="E485" s="350"/>
      <c r="F485" s="350"/>
      <c r="G485" s="347"/>
      <c r="H485" s="123" t="str">
        <f>_xlfn.CONCAT(_xlfn.XLOOKUP("[S05_DefaultValues][283][FuelMaterialType]",Submission!$O:$O,Submission!$H:$N,""))</f>
        <v>Polystyrol (geschäumt)</v>
      </c>
      <c r="I485" s="106" t="str">
        <f>_xlfn.CONCAT(_xlfn.XLOOKUP("[S05_DefaultValues][283][InstallationNumber]",Submission!$O:$O,Submission!$H:$N,""))</f>
        <v>2</v>
      </c>
    </row>
    <row r="486" spans="1:9" ht="15.9" hidden="1" customHeight="1" outlineLevel="1" x14ac:dyDescent="0.3">
      <c r="A486" s="13"/>
      <c r="B486" s="34"/>
      <c r="C486" s="281" t="str">
        <f>_xlfn.CONCAT(_xlfn.XLOOKUP("[S05_DefaultValues][284][InstallationCategory]",Submission!$O:$O,Submission!$H:$N,""))</f>
        <v>Category C installation</v>
      </c>
      <c r="D486" s="350"/>
      <c r="E486" s="350"/>
      <c r="F486" s="350"/>
      <c r="G486" s="347"/>
      <c r="H486" s="123" t="str">
        <f>_xlfn.CONCAT(_xlfn.XLOOKUP("[S05_DefaultValues][284][FuelMaterialType]",Submission!$O:$O,Submission!$H:$N,""))</f>
        <v>Propan</v>
      </c>
      <c r="I486" s="106" t="str">
        <f>_xlfn.CONCAT(_xlfn.XLOOKUP("[S05_DefaultValues][284][InstallationNumber]",Submission!$O:$O,Submission!$H:$N,""))</f>
        <v>1</v>
      </c>
    </row>
    <row r="487" spans="1:9" ht="15.9" hidden="1" customHeight="1" outlineLevel="1" x14ac:dyDescent="0.3">
      <c r="A487" s="13"/>
      <c r="B487" s="34"/>
      <c r="C487" s="281" t="str">
        <f>_xlfn.CONCAT(_xlfn.XLOOKUP("[S05_DefaultValues][285][InstallationCategory]",Submission!$O:$O,Submission!$H:$N,""))</f>
        <v>Category C installation</v>
      </c>
      <c r="D487" s="350"/>
      <c r="E487" s="350"/>
      <c r="F487" s="350"/>
      <c r="G487" s="347"/>
      <c r="H487" s="123" t="str">
        <f>_xlfn.CONCAT(_xlfn.XLOOKUP("[S05_DefaultValues][285][FuelMaterialType]",Submission!$O:$O,Submission!$H:$N,""))</f>
        <v>Propylen</v>
      </c>
      <c r="I487" s="106" t="str">
        <f>_xlfn.CONCAT(_xlfn.XLOOKUP("[S05_DefaultValues][285][InstallationNumber]",Submission!$O:$O,Submission!$H:$N,""))</f>
        <v>1</v>
      </c>
    </row>
    <row r="488" spans="1:9" ht="15.9" hidden="1" customHeight="1" outlineLevel="1" x14ac:dyDescent="0.3">
      <c r="A488" s="13"/>
      <c r="B488" s="34"/>
      <c r="C488" s="281" t="str">
        <f>_xlfn.CONCAT(_xlfn.XLOOKUP("[S05_DefaultValues][286][InstallationCategory]",Submission!$O:$O,Submission!$H:$N,""))</f>
        <v>Category C installation</v>
      </c>
      <c r="D488" s="350"/>
      <c r="E488" s="350"/>
      <c r="F488" s="350"/>
      <c r="G488" s="347"/>
      <c r="H488" s="123" t="str">
        <f>_xlfn.CONCAT(_xlfn.XLOOKUP("[S05_DefaultValues][286][FuelMaterialType]",Submission!$O:$O,Submission!$H:$N,""))</f>
        <v>Raffineriegas (Ersatzwert)</v>
      </c>
      <c r="I488" s="106" t="str">
        <f>_xlfn.CONCAT(_xlfn.XLOOKUP("[S05_DefaultValues][286][InstallationNumber]",Submission!$O:$O,Submission!$H:$N,""))</f>
        <v>7</v>
      </c>
    </row>
    <row r="489" spans="1:9" ht="15.9" hidden="1" customHeight="1" outlineLevel="1" x14ac:dyDescent="0.3">
      <c r="A489" s="13"/>
      <c r="B489" s="34"/>
      <c r="C489" s="281" t="str">
        <f>_xlfn.CONCAT(_xlfn.XLOOKUP("[S05_DefaultValues][287][InstallationCategory]",Submission!$O:$O,Submission!$H:$N,""))</f>
        <v>Category C installation</v>
      </c>
      <c r="D489" s="350"/>
      <c r="E489" s="350"/>
      <c r="F489" s="350"/>
      <c r="G489" s="347"/>
      <c r="H489" s="123" t="str">
        <f>_xlfn.CONCAT(_xlfn.XLOOKUP("[S05_DefaultValues][287][FuelMaterialType]",Submission!$O:$O,Submission!$H:$N,""))</f>
        <v>Raffineriegas in [t] (Ersatzwert)</v>
      </c>
      <c r="I489" s="106" t="str">
        <f>_xlfn.CONCAT(_xlfn.XLOOKUP("[S05_DefaultValues][287][InstallationNumber]",Submission!$O:$O,Submission!$H:$N,""))</f>
        <v>2</v>
      </c>
    </row>
    <row r="490" spans="1:9" ht="15.9" hidden="1" customHeight="1" outlineLevel="1" x14ac:dyDescent="0.3">
      <c r="A490" s="13"/>
      <c r="B490" s="34"/>
      <c r="C490" s="281" t="str">
        <f>_xlfn.CONCAT(_xlfn.XLOOKUP("[S05_DefaultValues][288][InstallationCategory]",Submission!$O:$O,Submission!$H:$N,""))</f>
        <v>Category C installation</v>
      </c>
      <c r="D490" s="350"/>
      <c r="E490" s="350"/>
      <c r="F490" s="350"/>
      <c r="G490" s="347"/>
      <c r="H490" s="123" t="str">
        <f>_xlfn.CONCAT(_xlfn.XLOOKUP("[S05_DefaultValues][288][FuelMaterialType]",Submission!$O:$O,Submission!$H:$N,""))</f>
        <v>Rohbraunkohle Rheinland</v>
      </c>
      <c r="I490" s="106" t="str">
        <f>_xlfn.CONCAT(_xlfn.XLOOKUP("[S05_DefaultValues][288][InstallationNumber]",Submission!$O:$O,Submission!$H:$N,""))</f>
        <v>3</v>
      </c>
    </row>
    <row r="491" spans="1:9" ht="15.9" hidden="1" customHeight="1" outlineLevel="1" x14ac:dyDescent="0.3">
      <c r="A491" s="13"/>
      <c r="B491" s="34"/>
      <c r="C491" s="281" t="str">
        <f>_xlfn.CONCAT(_xlfn.XLOOKUP("[S05_DefaultValues][289][InstallationCategory]",Submission!$O:$O,Submission!$H:$N,""))</f>
        <v>Category C installation</v>
      </c>
      <c r="D491" s="350"/>
      <c r="E491" s="350"/>
      <c r="F491" s="350"/>
      <c r="G491" s="347"/>
      <c r="H491" s="123" t="str">
        <f>_xlfn.CONCAT(_xlfn.XLOOKUP("[S05_DefaultValues][289][FuelMaterialType]",Submission!$O:$O,Submission!$H:$N,""))</f>
        <v>Roheisen</v>
      </c>
      <c r="I491" s="106" t="str">
        <f>_xlfn.CONCAT(_xlfn.XLOOKUP("[S05_DefaultValues][289][InstallationNumber]",Submission!$O:$O,Submission!$H:$N,""))</f>
        <v>4</v>
      </c>
    </row>
    <row r="492" spans="1:9" ht="15.9" hidden="1" customHeight="1" outlineLevel="1" x14ac:dyDescent="0.3">
      <c r="A492" s="13"/>
      <c r="B492" s="34"/>
      <c r="C492" s="281" t="str">
        <f>_xlfn.CONCAT(_xlfn.XLOOKUP("[S05_DefaultValues][290][InstallationCategory]",Submission!$O:$O,Submission!$H:$N,""))</f>
        <v>Category C installation</v>
      </c>
      <c r="D492" s="350"/>
      <c r="E492" s="350"/>
      <c r="F492" s="350"/>
      <c r="G492" s="347"/>
      <c r="H492" s="123" t="str">
        <f>_xlfn.CONCAT(_xlfn.XLOOKUP("[S05_DefaultValues][290][FuelMaterialType]",Submission!$O:$O,Submission!$H:$N,""))</f>
        <v>Rohöl</v>
      </c>
      <c r="I492" s="106" t="str">
        <f>_xlfn.CONCAT(_xlfn.XLOOKUP("[S05_DefaultValues][290][InstallationNumber]",Submission!$O:$O,Submission!$H:$N,""))</f>
        <v>1</v>
      </c>
    </row>
    <row r="493" spans="1:9" ht="15.9" hidden="1" customHeight="1" outlineLevel="1" x14ac:dyDescent="0.3">
      <c r="A493" s="13"/>
      <c r="B493" s="34"/>
      <c r="C493" s="281" t="str">
        <f>_xlfn.CONCAT(_xlfn.XLOOKUP("[S05_DefaultValues][291][InstallationCategory]",Submission!$O:$O,Submission!$H:$N,""))</f>
        <v>Category C installation</v>
      </c>
      <c r="D493" s="350"/>
      <c r="E493" s="350"/>
      <c r="F493" s="350"/>
      <c r="G493" s="347"/>
      <c r="H493" s="123" t="str">
        <f>_xlfn.CONCAT(_xlfn.XLOOKUP("[S05_DefaultValues][291][FuelMaterialType]",Submission!$O:$O,Submission!$H:$N,""))</f>
        <v>Stahl/Stahlschrott</v>
      </c>
      <c r="I493" s="106" t="str">
        <f>_xlfn.CONCAT(_xlfn.XLOOKUP("[S05_DefaultValues][291][InstallationNumber]",Submission!$O:$O,Submission!$H:$N,""))</f>
        <v>5</v>
      </c>
    </row>
    <row r="494" spans="1:9" ht="15.9" hidden="1" customHeight="1" outlineLevel="1" x14ac:dyDescent="0.3">
      <c r="A494" s="13"/>
      <c r="B494" s="34"/>
      <c r="C494" s="281" t="str">
        <f>_xlfn.CONCAT(_xlfn.XLOOKUP("[S05_DefaultValues][292][InstallationCategory]",Submission!$O:$O,Submission!$H:$N,""))</f>
        <v>Category C installation</v>
      </c>
      <c r="D494" s="350"/>
      <c r="E494" s="350"/>
      <c r="F494" s="350"/>
      <c r="G494" s="347"/>
      <c r="H494" s="123" t="str">
        <f>_xlfn.CONCAT(_xlfn.XLOOKUP("[S05_DefaultValues][292][FuelMaterialType]",Submission!$O:$O,Submission!$H:$N,""))</f>
        <v>Steinkohlenkoks</v>
      </c>
      <c r="I494" s="106" t="str">
        <f>_xlfn.CONCAT(_xlfn.XLOOKUP("[S05_DefaultValues][292][InstallationNumber]",Submission!$O:$O,Submission!$H:$N,""))</f>
        <v>1</v>
      </c>
    </row>
    <row r="495" spans="1:9" ht="15.9" hidden="1" customHeight="1" outlineLevel="1" x14ac:dyDescent="0.3">
      <c r="A495" s="13"/>
      <c r="B495" s="34"/>
      <c r="C495" s="281" t="str">
        <f>_xlfn.CONCAT(_xlfn.XLOOKUP("[S05_DefaultValues][293][InstallationCategory]",Submission!$O:$O,Submission!$H:$N,""))</f>
        <v>Category C installation</v>
      </c>
      <c r="D495" s="350"/>
      <c r="E495" s="350"/>
      <c r="F495" s="350"/>
      <c r="G495" s="347"/>
      <c r="H495" s="123" t="str">
        <f>_xlfn.CONCAT(_xlfn.XLOOKUP("[S05_DefaultValues][293][FuelMaterialType]",Submission!$O:$O,Submission!$H:$N,""))</f>
        <v>Vollwertkohle Import Südafrika</v>
      </c>
      <c r="I495" s="106" t="str">
        <f>_xlfn.CONCAT(_xlfn.XLOOKUP("[S05_DefaultValues][293][InstallationNumber]",Submission!$O:$O,Submission!$H:$N,""))</f>
        <v>1</v>
      </c>
    </row>
    <row r="496" spans="1:9" ht="15.9" hidden="1" customHeight="1" outlineLevel="1" x14ac:dyDescent="0.3">
      <c r="A496" s="13"/>
      <c r="B496" s="34"/>
      <c r="C496" s="281" t="str">
        <f>_xlfn.CONCAT(_xlfn.XLOOKUP("[S05_DefaultValues][294][InstallationCategory]",Submission!$O:$O,Submission!$H:$N,""))</f>
        <v>Category C installation</v>
      </c>
      <c r="D496" s="350"/>
      <c r="E496" s="350"/>
      <c r="F496" s="350"/>
      <c r="G496" s="347"/>
      <c r="H496" s="123" t="str">
        <f>_xlfn.CONCAT(_xlfn.XLOOKUP("[S05_DefaultValues][294][FuelMaterialType]",Submission!$O:$O,Submission!$H:$N,""))</f>
        <v>Wasserstoff</v>
      </c>
      <c r="I496" s="106" t="str">
        <f>_xlfn.CONCAT(_xlfn.XLOOKUP("[S05_DefaultValues][294][InstallationNumber]",Submission!$O:$O,Submission!$H:$N,""))</f>
        <v>1</v>
      </c>
    </row>
    <row r="497" spans="1:9" ht="15.9" hidden="1" customHeight="1" outlineLevel="1" x14ac:dyDescent="0.3">
      <c r="A497" s="13"/>
      <c r="B497" s="34"/>
      <c r="C497" s="281" t="str">
        <f>_xlfn.CONCAT(_xlfn.XLOOKUP("[S05_DefaultValues][295][InstallationCategory]",Submission!$O:$O,Submission!$H:$N,""))</f>
        <v>Category C installation</v>
      </c>
      <c r="D497" s="350"/>
      <c r="E497" s="350"/>
      <c r="F497" s="350"/>
      <c r="G497" s="347"/>
      <c r="H497" s="123" t="str">
        <f>_xlfn.CONCAT(_xlfn.XLOOKUP("[S05_DefaultValues][295][FuelMaterialType]",Submission!$O:$O,Submission!$H:$N,""))</f>
        <v>Wasserstoff (in [t])</v>
      </c>
      <c r="I497" s="106" t="str">
        <f>_xlfn.CONCAT(_xlfn.XLOOKUP("[S05_DefaultValues][295][InstallationNumber]",Submission!$O:$O,Submission!$H:$N,""))</f>
        <v>2</v>
      </c>
    </row>
    <row r="498" spans="1:9" ht="15.9" hidden="1" customHeight="1" outlineLevel="1" x14ac:dyDescent="0.3">
      <c r="A498" s="13"/>
      <c r="B498" s="34"/>
      <c r="C498" s="281" t="str">
        <f>_xlfn.CONCAT(_xlfn.XLOOKUP("[S05_DefaultValues][296][InstallationCategory]",Submission!$O:$O,Submission!$H:$N,""))</f>
        <v>Category C installation</v>
      </c>
      <c r="D498" s="350"/>
      <c r="E498" s="350"/>
      <c r="F498" s="350"/>
      <c r="G498" s="347"/>
      <c r="H498" s="123" t="str">
        <f>_xlfn.CONCAT(_xlfn.XLOOKUP("[S05_DefaultValues][296][FuelMaterialType]",Submission!$O:$O,Submission!$H:$N,""))</f>
        <v>Wirbelschicht-Braunkohle Rheinland</v>
      </c>
      <c r="I498" s="106" t="str">
        <f>_xlfn.CONCAT(_xlfn.XLOOKUP("[S05_DefaultValues][296][InstallationNumber]",Submission!$O:$O,Submission!$H:$N,""))</f>
        <v>1</v>
      </c>
    </row>
    <row r="499" spans="1:9" ht="15.9" hidden="1" customHeight="1" outlineLevel="1" x14ac:dyDescent="0.3">
      <c r="A499" s="13"/>
      <c r="B499" s="34"/>
      <c r="C499" s="281" t="str">
        <f>_xlfn.CONCAT(_xlfn.XLOOKUP("[S05_DefaultValues][297][InstallationCategory]",Submission!$O:$O,Submission!$H:$N,""))</f>
        <v>Category C installation</v>
      </c>
      <c r="D499" s="350"/>
      <c r="E499" s="350"/>
      <c r="F499" s="350"/>
      <c r="G499" s="347"/>
      <c r="H499" s="123" t="str">
        <f>_xlfn.CONCAT(_xlfn.XLOOKUP("[S05_DefaultValues][297][FuelMaterialType]",Submission!$O:$O,Submission!$H:$N,""))</f>
        <v>zugekauftes Roheisen</v>
      </c>
      <c r="I499" s="106" t="str">
        <f>_xlfn.CONCAT(_xlfn.XLOOKUP("[S05_DefaultValues][297][InstallationNumber]",Submission!$O:$O,Submission!$H:$N,""))</f>
        <v>1</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c>
      <c r="D1008" s="285"/>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1000</v>
      </c>
      <c r="D1037" s="72" t="str">
        <f>_xlfn.CONCAT(_xlfn.XLOOKUP("[S05_CategoryCHighestTierNotApplied][1][SourceStreamAffected]",Submission!$O:$O,Submission!$H:$N,""))</f>
        <v>Heizgas PO</v>
      </c>
      <c r="E1037" s="72" t="str">
        <f>_xlfn.CONCAT(_xlfn.XLOOKUP("[S05_CategoryCHighestTierNotApplied][1][EmissionSourceAffected]",Submission!$O:$O,Submission!$H:$N,""))</f>
        <v/>
      </c>
      <c r="F1037" s="72" t="str">
        <f>_xlfn.CONCAT(_xlfn.XLOOKUP("[S05_CategoryCHighestTierNotApplied][1][MonitoringParameterAffected]",Submission!$O:$O,Submission!$H:$N,""))</f>
        <v>Quantity of fuel</v>
      </c>
      <c r="G1037" s="89" t="str">
        <f>_xlfn.CONCAT(_xlfn.XLOOKUP("[S05_CategoryCHighestTierNotApplied][1][HighestTierRequired]",Submission!$O:$O,Submission!$H:$N,""))</f>
        <v>Tier 4</v>
      </c>
      <c r="H1037" s="240" t="str">
        <f>_xlfn.CONCAT(_xlfn.XLOOKUP("[S05_CategoryCHighestTierNotApplied][1][TierInPractice]",Submission!$O:$O,Submission!$H:$N,""))</f>
        <v>Tier 3</v>
      </c>
      <c r="I1037" s="242"/>
    </row>
    <row r="1038" spans="1:9" ht="24.6" customHeight="1" x14ac:dyDescent="0.3">
      <c r="B1038" s="34"/>
      <c r="C1038" s="72" t="str">
        <f>_xlfn.CONCAT(_xlfn.XLOOKUP("[S05_CategoryCHighestTierNotApplied][2][InstallationID]",Submission!$O:$O,Submission!$H:$N,""))</f>
        <v>1002</v>
      </c>
      <c r="D1038" s="72" t="str">
        <f>_xlfn.CONCAT(_xlfn.XLOOKUP("[S05_CategoryCHighestTierNotApplied][2][SourceStreamAffected]",Submission!$O:$O,Submission!$H:$N,""))</f>
        <v>Grünkoks, trocken</v>
      </c>
      <c r="E1038" s="72" t="str">
        <f>_xlfn.CONCAT(_xlfn.XLOOKUP("[S05_CategoryCHighestTierNotApplied][2][EmissionSourceAffected]",Submission!$O:$O,Submission!$H:$N,""))</f>
        <v/>
      </c>
      <c r="F1038" s="72" t="str">
        <f>_xlfn.CONCAT(_xlfn.XLOOKUP("[S05_CategoryCHighestTierNotApplied][2][MonitoringParameterAffected]",Submission!$O:$O,Submission!$H:$N,""))</f>
        <v>Quantity of material</v>
      </c>
      <c r="G1038" s="89" t="str">
        <f>_xlfn.CONCAT(_xlfn.XLOOKUP("[S05_CategoryCHighestTierNotApplied][2][HighestTierRequired]",Submission!$O:$O,Submission!$H:$N,""))</f>
        <v>Tier 4</v>
      </c>
      <c r="H1038" s="240" t="str">
        <f>_xlfn.CONCAT(_xlfn.XLOOKUP("[S05_CategoryCHighestTierNotApplied][2][TierInPractice]",Submission!$O:$O,Submission!$H:$N,""))</f>
        <v>Tier 3</v>
      </c>
      <c r="I1038" s="242"/>
    </row>
    <row r="1039" spans="1:9" ht="24.6" customHeight="1" x14ac:dyDescent="0.3">
      <c r="A1039" s="13"/>
      <c r="B1039" s="34"/>
      <c r="C1039" s="72" t="str">
        <f>_xlfn.CONCAT(_xlfn.XLOOKUP("[S05_CategoryCHighestTierNotApplied][3][InstallationID]",Submission!$O:$O,Submission!$H:$N,""))</f>
        <v>1003</v>
      </c>
      <c r="D1039" s="72" t="str">
        <f>_xlfn.CONCAT(_xlfn.XLOOKUP("[S05_CategoryCHighestTierNotApplied][3][SourceStreamAffected]",Submission!$O:$O,Submission!$H:$N,""))</f>
        <v>BEHG: Import Erdgas</v>
      </c>
      <c r="E1039" s="72" t="str">
        <f>_xlfn.CONCAT(_xlfn.XLOOKUP("[S05_CategoryCHighestTierNotApplied][3][EmissionSourceAffected]",Submission!$O:$O,Submission!$H:$N,""))</f>
        <v/>
      </c>
      <c r="F1039" s="72" t="str">
        <f>_xlfn.CONCAT(_xlfn.XLOOKUP("[S05_CategoryCHighestTierNotApplied][3][MonitoringParameterAffected]",Submission!$O:$O,Submission!$H:$N,""))</f>
        <v>Quantity of fuel</v>
      </c>
      <c r="G1039" s="89" t="str">
        <f>_xlfn.CONCAT(_xlfn.XLOOKUP("[S05_CategoryCHighestTierNotApplied][3][HighestTierRequired]",Submission!$O:$O,Submission!$H:$N,""))</f>
        <v>Tier 4</v>
      </c>
      <c r="H1039" s="240" t="str">
        <f>_xlfn.CONCAT(_xlfn.XLOOKUP("[S05_CategoryCHighestTierNotApplied][3][TierInPractice]",Submission!$O:$O,Submission!$H:$N,""))</f>
        <v>Tier 1</v>
      </c>
      <c r="I1039" s="242"/>
    </row>
    <row r="1040" spans="1:9" ht="24.6" customHeight="1" x14ac:dyDescent="0.3">
      <c r="B1040" s="34"/>
      <c r="C1040" s="72" t="str">
        <f>_xlfn.CONCAT(_xlfn.XLOOKUP("[S05_CategoryCHighestTierNotApplied][4][InstallationID]",Submission!$O:$O,Submission!$H:$N,""))</f>
        <v>1003</v>
      </c>
      <c r="D1040" s="72" t="str">
        <f>_xlfn.CONCAT(_xlfn.XLOOKUP("[S05_CategoryCHighestTierNotApplied][4][SourceStreamAffected]",Submission!$O:$O,Submission!$H:$N,""))</f>
        <v>Einsatzprodukt Wasserstofferzeugung</v>
      </c>
      <c r="E1040" s="72" t="str">
        <f>_xlfn.CONCAT(_xlfn.XLOOKUP("[S05_CategoryCHighestTierNotApplied][4][EmissionSourceAffected]",Submission!$O:$O,Submission!$H:$N,""))</f>
        <v/>
      </c>
      <c r="F1040" s="72" t="str">
        <f>_xlfn.CONCAT(_xlfn.XLOOKUP("[S05_CategoryCHighestTierNotApplied][4][MonitoringParameterAffected]",Submission!$O:$O,Submission!$H:$N,""))</f>
        <v>Quantity of material</v>
      </c>
      <c r="G1040" s="89" t="str">
        <f>_xlfn.CONCAT(_xlfn.XLOOKUP("[S05_CategoryCHighestTierNotApplied][4][HighestTierRequired]",Submission!$O:$O,Submission!$H:$N,""))</f>
        <v>Tier 4</v>
      </c>
      <c r="H1040" s="240" t="str">
        <f>_xlfn.CONCAT(_xlfn.XLOOKUP("[S05_CategoryCHighestTierNotApplied][4][TierInPractice]",Submission!$O:$O,Submission!$H:$N,""))</f>
        <v>Tier 3</v>
      </c>
      <c r="I1040" s="242"/>
    </row>
    <row r="1041" spans="1:9" ht="24.6" customHeight="1" x14ac:dyDescent="0.3">
      <c r="B1041" s="34"/>
      <c r="C1041" s="72" t="str">
        <f>_xlfn.CONCAT(_xlfn.XLOOKUP("[S05_CategoryCHighestTierNotApplied][5][InstallationID]",Submission!$O:$O,Submission!$H:$N,""))</f>
        <v>1003</v>
      </c>
      <c r="D1041" s="72" t="str">
        <f>_xlfn.CONCAT(_xlfn.XLOOKUP("[S05_CategoryCHighestTierNotApplied][5][SourceStreamAffected]",Submission!$O:$O,Submission!$H:$N,""))</f>
        <v>Fackelgas</v>
      </c>
      <c r="E1041" s="72" t="str">
        <f>_xlfn.CONCAT(_xlfn.XLOOKUP("[S05_CategoryCHighestTierNotApplied][5][EmissionSourceAffected]",Submission!$O:$O,Submission!$H:$N,""))</f>
        <v/>
      </c>
      <c r="F1041" s="72" t="str">
        <f>_xlfn.CONCAT(_xlfn.XLOOKUP("[S05_CategoryCHighestTierNotApplied][5][MonitoringParameterAffected]",Submission!$O:$O,Submission!$H:$N,""))</f>
        <v>Quantity of fuel</v>
      </c>
      <c r="G1041" s="89" t="str">
        <f>_xlfn.CONCAT(_xlfn.XLOOKUP("[S05_CategoryCHighestTierNotApplied][5][HighestTierRequired]",Submission!$O:$O,Submission!$H:$N,""))</f>
        <v>Tier 3</v>
      </c>
      <c r="H1041" s="240" t="str">
        <f>_xlfn.CONCAT(_xlfn.XLOOKUP("[S05_CategoryCHighestTierNotApplied][5][TierInPractice]",Submission!$O:$O,Submission!$H:$N,""))</f>
        <v>Tier 1</v>
      </c>
      <c r="I1041" s="242"/>
    </row>
    <row r="1042" spans="1:9" ht="24.6" customHeight="1" x14ac:dyDescent="0.3">
      <c r="B1042" s="34"/>
      <c r="C1042" s="72" t="str">
        <f>_xlfn.CONCAT(_xlfn.XLOOKUP("[S05_CategoryCHighestTierNotApplied][6][InstallationID]",Submission!$O:$O,Submission!$H:$N,""))</f>
        <v>1003</v>
      </c>
      <c r="D1042" s="72" t="str">
        <f>_xlfn.CONCAT(_xlfn.XLOOKUP("[S05_CategoryCHighestTierNotApplied][6][SourceStreamAffected]",Submission!$O:$O,Submission!$H:$N,""))</f>
        <v>Fackelgas</v>
      </c>
      <c r="E1042" s="72" t="str">
        <f>_xlfn.CONCAT(_xlfn.XLOOKUP("[S05_CategoryCHighestTierNotApplied][6][EmissionSourceAffected]",Submission!$O:$O,Submission!$H:$N,""))</f>
        <v/>
      </c>
      <c r="F1042" s="72" t="str">
        <f>_xlfn.CONCAT(_xlfn.XLOOKUP("[S05_CategoryCHighestTierNotApplied][6][MonitoringParameterAffected]",Submission!$O:$O,Submission!$H:$N,""))</f>
        <v>Emission factor</v>
      </c>
      <c r="G1042" s="89" t="str">
        <f>_xlfn.CONCAT(_xlfn.XLOOKUP("[S05_CategoryCHighestTierNotApplied][6][HighestTierRequired]",Submission!$O:$O,Submission!$H:$N,""))</f>
        <v>Tier 3</v>
      </c>
      <c r="H1042" s="240" t="str">
        <f>_xlfn.CONCAT(_xlfn.XLOOKUP("[S05_CategoryCHighestTierNotApplied][6][TierInPractice]",Submission!$O:$O,Submission!$H:$N,""))</f>
        <v>Tier 1</v>
      </c>
      <c r="I1042" s="242"/>
    </row>
    <row r="1043" spans="1:9" ht="24.6" customHeight="1" x14ac:dyDescent="0.3">
      <c r="B1043" s="34"/>
      <c r="C1043" s="72" t="str">
        <f>_xlfn.CONCAT(_xlfn.XLOOKUP("[S05_CategoryCHighestTierNotApplied][7][InstallationID]",Submission!$O:$O,Submission!$H:$N,""))</f>
        <v>1003</v>
      </c>
      <c r="D1043" s="72" t="str">
        <f>_xlfn.CONCAT(_xlfn.XLOOKUP("[S05_CategoryCHighestTierNotApplied][7][SourceStreamAffected]",Submission!$O:$O,Submission!$H:$N,""))</f>
        <v>Heizgas zum Kessel BA 1401</v>
      </c>
      <c r="E1043" s="72" t="str">
        <f>_xlfn.CONCAT(_xlfn.XLOOKUP("[S05_CategoryCHighestTierNotApplied][7][EmissionSourceAffected]",Submission!$O:$O,Submission!$H:$N,""))</f>
        <v/>
      </c>
      <c r="F1043" s="72" t="str">
        <f>_xlfn.CONCAT(_xlfn.XLOOKUP("[S05_CategoryCHighestTierNotApplied][7][MonitoringParameterAffected]",Submission!$O:$O,Submission!$H:$N,""))</f>
        <v>Quantity of fuel</v>
      </c>
      <c r="G1043" s="89" t="str">
        <f>_xlfn.CONCAT(_xlfn.XLOOKUP("[S05_CategoryCHighestTierNotApplied][7][HighestTierRequired]",Submission!$O:$O,Submission!$H:$N,""))</f>
        <v>Tier 4</v>
      </c>
      <c r="H1043" s="240" t="str">
        <f>_xlfn.CONCAT(_xlfn.XLOOKUP("[S05_CategoryCHighestTierNotApplied][7][TierInPractice]",Submission!$O:$O,Submission!$H:$N,""))</f>
        <v>Tier 3</v>
      </c>
      <c r="I1043" s="242"/>
    </row>
    <row r="1044" spans="1:9" ht="24.6" customHeight="1" x14ac:dyDescent="0.3">
      <c r="B1044" s="34"/>
      <c r="C1044" s="72" t="str">
        <f>_xlfn.CONCAT(_xlfn.XLOOKUP("[S05_CategoryCHighestTierNotApplied][8][InstallationID]",Submission!$O:$O,Submission!$H:$N,""))</f>
        <v>1003</v>
      </c>
      <c r="D1044" s="72" t="str">
        <f>_xlfn.CONCAT(_xlfn.XLOOKUP("[S05_CategoryCHighestTierNotApplied][8][SourceStreamAffected]",Submission!$O:$O,Submission!$H:$N,""))</f>
        <v>Heizgas zur Destillation V2</v>
      </c>
      <c r="E1044" s="72" t="str">
        <f>_xlfn.CONCAT(_xlfn.XLOOKUP("[S05_CategoryCHighestTierNotApplied][8][EmissionSourceAffected]",Submission!$O:$O,Submission!$H:$N,""))</f>
        <v/>
      </c>
      <c r="F1044" s="72" t="str">
        <f>_xlfn.CONCAT(_xlfn.XLOOKUP("[S05_CategoryCHighestTierNotApplied][8][MonitoringParameterAffected]",Submission!$O:$O,Submission!$H:$N,""))</f>
        <v>Quantity of fuel</v>
      </c>
      <c r="G1044" s="89" t="str">
        <f>_xlfn.CONCAT(_xlfn.XLOOKUP("[S05_CategoryCHighestTierNotApplied][8][HighestTierRequired]",Submission!$O:$O,Submission!$H:$N,""))</f>
        <v>Tier 4</v>
      </c>
      <c r="H1044" s="240" t="str">
        <f>_xlfn.CONCAT(_xlfn.XLOOKUP("[S05_CategoryCHighestTierNotApplied][8][TierInPractice]",Submission!$O:$O,Submission!$H:$N,""))</f>
        <v>Tier 1</v>
      </c>
      <c r="I1044" s="242"/>
    </row>
    <row r="1045" spans="1:9" ht="24.6" customHeight="1" x14ac:dyDescent="0.3">
      <c r="A1045" s="13"/>
      <c r="B1045" s="34"/>
      <c r="C1045" s="72" t="str">
        <f>_xlfn.CONCAT(_xlfn.XLOOKUP("[S05_CategoryCHighestTierNotApplied][9][InstallationID]",Submission!$O:$O,Submission!$H:$N,""))</f>
        <v>1003</v>
      </c>
      <c r="D1045" s="72" t="str">
        <f>_xlfn.CONCAT(_xlfn.XLOOKUP("[S05_CategoryCHighestTierNotApplied][9][SourceStreamAffected]",Submission!$O:$O,Submission!$H:$N,""))</f>
        <v>Heizgas zur MDE (Mitteldest.Entschwefelung)</v>
      </c>
      <c r="E1045" s="72" t="str">
        <f>_xlfn.CONCAT(_xlfn.XLOOKUP("[S05_CategoryCHighestTierNotApplied][9][EmissionSourceAffected]",Submission!$O:$O,Submission!$H:$N,""))</f>
        <v/>
      </c>
      <c r="F1045" s="72" t="str">
        <f>_xlfn.CONCAT(_xlfn.XLOOKUP("[S05_CategoryCHighestTierNotApplied][9][MonitoringParameterAffected]",Submission!$O:$O,Submission!$H:$N,""))</f>
        <v>Quantity of fuel</v>
      </c>
      <c r="G1045" s="89" t="str">
        <f>_xlfn.CONCAT(_xlfn.XLOOKUP("[S05_CategoryCHighestTierNotApplied][9][HighestTierRequired]",Submission!$O:$O,Submission!$H:$N,""))</f>
        <v>Tier 4</v>
      </c>
      <c r="H1045" s="240" t="str">
        <f>_xlfn.CONCAT(_xlfn.XLOOKUP("[S05_CategoryCHighestTierNotApplied][9][TierInPractice]",Submission!$O:$O,Submission!$H:$N,""))</f>
        <v>Tier 3</v>
      </c>
      <c r="I1045" s="242"/>
    </row>
    <row r="1046" spans="1:9" ht="24.6" customHeight="1" x14ac:dyDescent="0.3">
      <c r="A1046" s="13"/>
      <c r="B1046" s="34"/>
      <c r="C1046" s="72" t="str">
        <f>_xlfn.CONCAT(_xlfn.XLOOKUP("[S05_CategoryCHighestTierNotApplied][10][InstallationID]",Submission!$O:$O,Submission!$H:$N,""))</f>
        <v>1003</v>
      </c>
      <c r="D1046" s="72" t="str">
        <f>_xlfn.CONCAT(_xlfn.XLOOKUP("[S05_CategoryCHighestTierNotApplied][10][SourceStreamAffected]",Submission!$O:$O,Submission!$H:$N,""))</f>
        <v>Heizgas zur SOEV</v>
      </c>
      <c r="E1046" s="72" t="str">
        <f>_xlfn.CONCAT(_xlfn.XLOOKUP("[S05_CategoryCHighestTierNotApplied][10][EmissionSourceAffected]",Submission!$O:$O,Submission!$H:$N,""))</f>
        <v/>
      </c>
      <c r="F1046" s="72" t="str">
        <f>_xlfn.CONCAT(_xlfn.XLOOKUP("[S05_CategoryCHighestTierNotApplied][10][MonitoringParameterAffected]",Submission!$O:$O,Submission!$H:$N,""))</f>
        <v>Quantity of fuel</v>
      </c>
      <c r="G1046" s="89" t="str">
        <f>_xlfn.CONCAT(_xlfn.XLOOKUP("[S05_CategoryCHighestTierNotApplied][10][HighestTierRequired]",Submission!$O:$O,Submission!$H:$N,""))</f>
        <v>Tier 4</v>
      </c>
      <c r="H1046" s="240" t="str">
        <f>_xlfn.CONCAT(_xlfn.XLOOKUP("[S05_CategoryCHighestTierNotApplied][10][TierInPractice]",Submission!$O:$O,Submission!$H:$N,""))</f>
        <v>Tier 2</v>
      </c>
      <c r="I1046" s="242"/>
    </row>
    <row r="1047" spans="1:9" ht="24.6" customHeight="1" x14ac:dyDescent="0.3">
      <c r="B1047" s="34"/>
      <c r="C1047" s="72" t="str">
        <f>_xlfn.CONCAT(_xlfn.XLOOKUP("[S05_CategoryCHighestTierNotApplied][11][InstallationID]",Submission!$O:$O,Submission!$H:$N,""))</f>
        <v>1003</v>
      </c>
      <c r="D1047" s="72" t="str">
        <f>_xlfn.CONCAT(_xlfn.XLOOKUP("[S05_CategoryCHighestTierNotApplied][11][SourceStreamAffected]",Submission!$O:$O,Submission!$H:$N,""))</f>
        <v>HG zum Hydrocracker, V3 und Claus 4 (zusammengelegt)</v>
      </c>
      <c r="E1047" s="72" t="str">
        <f>_xlfn.CONCAT(_xlfn.XLOOKUP("[S05_CategoryCHighestTierNotApplied][11][EmissionSourceAffected]",Submission!$O:$O,Submission!$H:$N,""))</f>
        <v/>
      </c>
      <c r="F1047" s="72" t="str">
        <f>_xlfn.CONCAT(_xlfn.XLOOKUP("[S05_CategoryCHighestTierNotApplied][11][MonitoringParameterAffected]",Submission!$O:$O,Submission!$H:$N,""))</f>
        <v>Quantity of fuel</v>
      </c>
      <c r="G1047" s="89" t="str">
        <f>_xlfn.CONCAT(_xlfn.XLOOKUP("[S05_CategoryCHighestTierNotApplied][11][HighestTierRequired]",Submission!$O:$O,Submission!$H:$N,""))</f>
        <v>Tier 4</v>
      </c>
      <c r="H1047" s="240" t="str">
        <f>_xlfn.CONCAT(_xlfn.XLOOKUP("[S05_CategoryCHighestTierNotApplied][11][TierInPractice]",Submission!$O:$O,Submission!$H:$N,""))</f>
        <v>Tier 1</v>
      </c>
      <c r="I1047" s="242"/>
    </row>
    <row r="1048" spans="1:9" ht="24.6" customHeight="1" x14ac:dyDescent="0.3">
      <c r="A1048" s="13"/>
      <c r="B1048" s="34"/>
      <c r="C1048" s="72" t="str">
        <f>_xlfn.CONCAT(_xlfn.XLOOKUP("[S05_CategoryCHighestTierNotApplied][12][InstallationID]",Submission!$O:$O,Submission!$H:$N,""))</f>
        <v>1003</v>
      </c>
      <c r="D1048" s="72" t="str">
        <f>_xlfn.CONCAT(_xlfn.XLOOKUP("[S05_CategoryCHighestTierNotApplied][12][SourceStreamAffected]",Submission!$O:$O,Submission!$H:$N,""))</f>
        <v>HG zum Kessel BA 1201</v>
      </c>
      <c r="E1048" s="72" t="str">
        <f>_xlfn.CONCAT(_xlfn.XLOOKUP("[S05_CategoryCHighestTierNotApplied][12][EmissionSourceAffected]",Submission!$O:$O,Submission!$H:$N,""))</f>
        <v/>
      </c>
      <c r="F1048" s="72" t="str">
        <f>_xlfn.CONCAT(_xlfn.XLOOKUP("[S05_CategoryCHighestTierNotApplied][12][MonitoringParameterAffected]",Submission!$O:$O,Submission!$H:$N,""))</f>
        <v>Quantity of fuel</v>
      </c>
      <c r="G1048" s="89" t="str">
        <f>_xlfn.CONCAT(_xlfn.XLOOKUP("[S05_CategoryCHighestTierNotApplied][12][HighestTierRequired]",Submission!$O:$O,Submission!$H:$N,""))</f>
        <v>Tier 4</v>
      </c>
      <c r="H1048" s="240" t="str">
        <f>_xlfn.CONCAT(_xlfn.XLOOKUP("[S05_CategoryCHighestTierNotApplied][12][TierInPractice]",Submission!$O:$O,Submission!$H:$N,""))</f>
        <v>Tier 3</v>
      </c>
      <c r="I1048" s="242"/>
    </row>
    <row r="1049" spans="1:9" ht="24.6" customHeight="1" x14ac:dyDescent="0.3">
      <c r="A1049" s="13"/>
      <c r="B1049" s="34"/>
      <c r="C1049" s="72" t="str">
        <f>_xlfn.CONCAT(_xlfn.XLOOKUP("[S05_CategoryCHighestTierNotApplied][13][InstallationID]",Submission!$O:$O,Submission!$H:$N,""))</f>
        <v>1003</v>
      </c>
      <c r="D1049" s="72" t="str">
        <f>_xlfn.CONCAT(_xlfn.XLOOKUP("[S05_CategoryCHighestTierNotApplied][13][SourceStreamAffected]",Submission!$O:$O,Submission!$H:$N,""))</f>
        <v>HVS</v>
      </c>
      <c r="E1049" s="72" t="str">
        <f>_xlfn.CONCAT(_xlfn.XLOOKUP("[S05_CategoryCHighestTierNotApplied][13][EmissionSourceAffected]",Submission!$O:$O,Submission!$H:$N,""))</f>
        <v/>
      </c>
      <c r="F1049" s="72" t="str">
        <f>_xlfn.CONCAT(_xlfn.XLOOKUP("[S05_CategoryCHighestTierNotApplied][13][MonitoringParameterAffected]",Submission!$O:$O,Submission!$H:$N,""))</f>
        <v>Quantity of material</v>
      </c>
      <c r="G1049" s="89" t="str">
        <f>_xlfn.CONCAT(_xlfn.XLOOKUP("[S05_CategoryCHighestTierNotApplied][13][HighestTierRequired]",Submission!$O:$O,Submission!$H:$N,""))</f>
        <v>Tier 4</v>
      </c>
      <c r="H1049" s="240" t="str">
        <f>_xlfn.CONCAT(_xlfn.XLOOKUP("[S05_CategoryCHighestTierNotApplied][13][TierInPractice]",Submission!$O:$O,Submission!$H:$N,""))</f>
        <v>Tier 3</v>
      </c>
      <c r="I1049" s="242"/>
    </row>
    <row r="1050" spans="1:9" ht="24.6" customHeight="1" x14ac:dyDescent="0.3">
      <c r="A1050" s="13"/>
      <c r="B1050" s="34"/>
      <c r="C1050" s="72" t="str">
        <f>_xlfn.CONCAT(_xlfn.XLOOKUP("[S05_CategoryCHighestTierNotApplied][14][InstallationID]",Submission!$O:$O,Submission!$H:$N,""))</f>
        <v>1003</v>
      </c>
      <c r="D1050" s="72" t="str">
        <f>_xlfn.CONCAT(_xlfn.XLOOKUP("[S05_CategoryCHighestTierNotApplied][14][SourceStreamAffected]",Submission!$O:$O,Submission!$H:$N,""))</f>
        <v>TOP-Rückstand</v>
      </c>
      <c r="E1050" s="72" t="str">
        <f>_xlfn.CONCAT(_xlfn.XLOOKUP("[S05_CategoryCHighestTierNotApplied][14][EmissionSourceAffected]",Submission!$O:$O,Submission!$H:$N,""))</f>
        <v/>
      </c>
      <c r="F1050" s="72" t="str">
        <f>_xlfn.CONCAT(_xlfn.XLOOKUP("[S05_CategoryCHighestTierNotApplied][14][MonitoringParameterAffected]",Submission!$O:$O,Submission!$H:$N,""))</f>
        <v>Quantity of material</v>
      </c>
      <c r="G1050" s="89" t="str">
        <f>_xlfn.CONCAT(_xlfn.XLOOKUP("[S05_CategoryCHighestTierNotApplied][14][HighestTierRequired]",Submission!$O:$O,Submission!$H:$N,""))</f>
        <v>Tier 4</v>
      </c>
      <c r="H1050" s="240" t="str">
        <f>_xlfn.CONCAT(_xlfn.XLOOKUP("[S05_CategoryCHighestTierNotApplied][14][TierInPractice]",Submission!$O:$O,Submission!$H:$N,""))</f>
        <v>Tier 2</v>
      </c>
      <c r="I1050" s="242"/>
    </row>
    <row r="1051" spans="1:9" ht="24.6" hidden="1" customHeight="1" outlineLevel="1" x14ac:dyDescent="0.3">
      <c r="A1051" s="13"/>
      <c r="B1051" s="34"/>
      <c r="C1051" s="72" t="str">
        <f>_xlfn.CONCAT(_xlfn.XLOOKUP("[S05_CategoryCHighestTierNotApplied][15][InstallationID]",Submission!$O:$O,Submission!$H:$N,""))</f>
        <v>1004</v>
      </c>
      <c r="D1051" s="72" t="str">
        <f>_xlfn.CONCAT(_xlfn.XLOOKUP("[S05_CategoryCHighestTierNotApplied][15][SourceStreamAffected]",Submission!$O:$O,Submission!$H:$N,""))</f>
        <v>Erdgas</v>
      </c>
      <c r="E1051" s="72" t="str">
        <f>_xlfn.CONCAT(_xlfn.XLOOKUP("[S05_CategoryCHighestTierNotApplied][15][EmissionSourceAffected]",Submission!$O:$O,Submission!$H:$N,""))</f>
        <v/>
      </c>
      <c r="F1051" s="72" t="str">
        <f>_xlfn.CONCAT(_xlfn.XLOOKUP("[S05_CategoryCHighestTierNotApplied][15][MonitoringParameterAffected]",Submission!$O:$O,Submission!$H:$N,""))</f>
        <v>Quantity of fuel</v>
      </c>
      <c r="G1051" s="89" t="str">
        <f>_xlfn.CONCAT(_xlfn.XLOOKUP("[S05_CategoryCHighestTierNotApplied][15][HighestTierRequired]",Submission!$O:$O,Submission!$H:$N,""))</f>
        <v>Tier 4</v>
      </c>
      <c r="H1051" s="240" t="str">
        <f>_xlfn.CONCAT(_xlfn.XLOOKUP("[S05_CategoryCHighestTierNotApplied][15][TierInPractice]",Submission!$O:$O,Submission!$H:$N,""))</f>
        <v>Tier 3</v>
      </c>
      <c r="I1051" s="242"/>
    </row>
    <row r="1052" spans="1:9" ht="24.6" hidden="1" customHeight="1" outlineLevel="1" x14ac:dyDescent="0.3">
      <c r="B1052" s="34"/>
      <c r="C1052" s="72" t="str">
        <f>_xlfn.CONCAT(_xlfn.XLOOKUP("[S05_CategoryCHighestTierNotApplied][16][InstallationID]",Submission!$O:$O,Submission!$H:$N,""))</f>
        <v>1012</v>
      </c>
      <c r="D1052" s="72" t="str">
        <f>_xlfn.CONCAT(_xlfn.XLOOKUP("[S05_CategoryCHighestTierNotApplied][16][SourceStreamAffected]",Submission!$O:$O,Submission!$H:$N,""))</f>
        <v>Einsatz Wasserstofferzeugung</v>
      </c>
      <c r="E1052" s="72" t="str">
        <f>_xlfn.CONCAT(_xlfn.XLOOKUP("[S05_CategoryCHighestTierNotApplied][16][EmissionSourceAffected]",Submission!$O:$O,Submission!$H:$N,""))</f>
        <v/>
      </c>
      <c r="F1052" s="72" t="str">
        <f>_xlfn.CONCAT(_xlfn.XLOOKUP("[S05_CategoryCHighestTierNotApplied][16][MonitoringParameterAffected]",Submission!$O:$O,Submission!$H:$N,""))</f>
        <v>Quantity of material</v>
      </c>
      <c r="G1052" s="89" t="str">
        <f>_xlfn.CONCAT(_xlfn.XLOOKUP("[S05_CategoryCHighestTierNotApplied][16][HighestTierRequired]",Submission!$O:$O,Submission!$H:$N,""))</f>
        <v>Tier 4</v>
      </c>
      <c r="H1052" s="240" t="str">
        <f>_xlfn.CONCAT(_xlfn.XLOOKUP("[S05_CategoryCHighestTierNotApplied][16][TierInPractice]",Submission!$O:$O,Submission!$H:$N,""))</f>
        <v>Tier 2</v>
      </c>
      <c r="I1052" s="242"/>
    </row>
    <row r="1053" spans="1:9" ht="24.6" hidden="1" customHeight="1" outlineLevel="1" x14ac:dyDescent="0.3">
      <c r="B1053" s="34"/>
      <c r="C1053" s="72" t="str">
        <f>_xlfn.CONCAT(_xlfn.XLOOKUP("[S05_CategoryCHighestTierNotApplied][17][InstallationID]",Submission!$O:$O,Submission!$H:$N,""))</f>
        <v>1012</v>
      </c>
      <c r="D1053" s="72" t="str">
        <f>_xlfn.CONCAT(_xlfn.XLOOKUP("[S05_CategoryCHighestTierNotApplied][17][SourceStreamAffected]",Submission!$O:$O,Submission!$H:$N,""))</f>
        <v>VCU-Einsatzgas</v>
      </c>
      <c r="E1053" s="72" t="str">
        <f>_xlfn.CONCAT(_xlfn.XLOOKUP("[S05_CategoryCHighestTierNotApplied][17][EmissionSourceAffected]",Submission!$O:$O,Submission!$H:$N,""))</f>
        <v/>
      </c>
      <c r="F1053" s="72" t="str">
        <f>_xlfn.CONCAT(_xlfn.XLOOKUP("[S05_CategoryCHighestTierNotApplied][17][MonitoringParameterAffected]",Submission!$O:$O,Submission!$H:$N,""))</f>
        <v>Emission factor</v>
      </c>
      <c r="G1053" s="89" t="str">
        <f>_xlfn.CONCAT(_xlfn.XLOOKUP("[S05_CategoryCHighestTierNotApplied][17][HighestTierRequired]",Submission!$O:$O,Submission!$H:$N,""))</f>
        <v>Tier 3</v>
      </c>
      <c r="H1053" s="240" t="str">
        <f>_xlfn.CONCAT(_xlfn.XLOOKUP("[S05_CategoryCHighestTierNotApplied][17][TierInPractice]",Submission!$O:$O,Submission!$H:$N,""))</f>
        <v>Tier 2b</v>
      </c>
      <c r="I1053" s="242"/>
    </row>
    <row r="1054" spans="1:9" ht="24.6" hidden="1" customHeight="1" outlineLevel="1" x14ac:dyDescent="0.3">
      <c r="A1054" s="13"/>
      <c r="B1054" s="34"/>
      <c r="C1054" s="72" t="str">
        <f>_xlfn.CONCAT(_xlfn.XLOOKUP("[S05_CategoryCHighestTierNotApplied][18][InstallationID]",Submission!$O:$O,Submission!$H:$N,""))</f>
        <v>1013</v>
      </c>
      <c r="D1054" s="72" t="str">
        <f>_xlfn.CONCAT(_xlfn.XLOOKUP("[S05_CategoryCHighestTierNotApplied][18][SourceStreamAffected]",Submission!$O:$O,Submission!$H:$N,""))</f>
        <v>Einsatz Mixgas H2A (netto)</v>
      </c>
      <c r="E1054" s="72" t="str">
        <f>_xlfn.CONCAT(_xlfn.XLOOKUP("[S05_CategoryCHighestTierNotApplied][18][EmissionSourceAffected]",Submission!$O:$O,Submission!$H:$N,""))</f>
        <v/>
      </c>
      <c r="F1054" s="72" t="str">
        <f>_xlfn.CONCAT(_xlfn.XLOOKUP("[S05_CategoryCHighestTierNotApplied][18][MonitoringParameterAffected]",Submission!$O:$O,Submission!$H:$N,""))</f>
        <v>Quantity of material</v>
      </c>
      <c r="G1054" s="89" t="str">
        <f>_xlfn.CONCAT(_xlfn.XLOOKUP("[S05_CategoryCHighestTierNotApplied][18][HighestTierRequired]",Submission!$O:$O,Submission!$H:$N,""))</f>
        <v>Tier 4</v>
      </c>
      <c r="H1054" s="240" t="str">
        <f>_xlfn.CONCAT(_xlfn.XLOOKUP("[S05_CategoryCHighestTierNotApplied][18][TierInPractice]",Submission!$O:$O,Submission!$H:$N,""))</f>
        <v>Tier 3</v>
      </c>
      <c r="I1054" s="242"/>
    </row>
    <row r="1055" spans="1:9" ht="24.6" hidden="1" customHeight="1" outlineLevel="1" x14ac:dyDescent="0.3">
      <c r="B1055" s="34"/>
      <c r="C1055" s="72" t="str">
        <f>_xlfn.CONCAT(_xlfn.XLOOKUP("[S05_CategoryCHighestTierNotApplied][19][InstallationID]",Submission!$O:$O,Submission!$H:$N,""))</f>
        <v>1013</v>
      </c>
      <c r="D1055" s="72" t="str">
        <f>_xlfn.CONCAT(_xlfn.XLOOKUP("[S05_CategoryCHighestTierNotApplied][19][SourceStreamAffected]",Submission!$O:$O,Submission!$H:$N,""))</f>
        <v>Einsatz RG H2B</v>
      </c>
      <c r="E1055" s="72" t="str">
        <f>_xlfn.CONCAT(_xlfn.XLOOKUP("[S05_CategoryCHighestTierNotApplied][19][EmissionSourceAffected]",Submission!$O:$O,Submission!$H:$N,""))</f>
        <v/>
      </c>
      <c r="F1055" s="72" t="str">
        <f>_xlfn.CONCAT(_xlfn.XLOOKUP("[S05_CategoryCHighestTierNotApplied][19][MonitoringParameterAffected]",Submission!$O:$O,Submission!$H:$N,""))</f>
        <v>Quantity of material</v>
      </c>
      <c r="G1055" s="89" t="str">
        <f>_xlfn.CONCAT(_xlfn.XLOOKUP("[S05_CategoryCHighestTierNotApplied][19][HighestTierRequired]",Submission!$O:$O,Submission!$H:$N,""))</f>
        <v>Tier 4</v>
      </c>
      <c r="H1055" s="240" t="str">
        <f>_xlfn.CONCAT(_xlfn.XLOOKUP("[S05_CategoryCHighestTierNotApplied][19][TierInPractice]",Submission!$O:$O,Submission!$H:$N,""))</f>
        <v>Tier 3</v>
      </c>
      <c r="I1055" s="242"/>
    </row>
    <row r="1056" spans="1:9" ht="24.6" hidden="1" customHeight="1" outlineLevel="1" x14ac:dyDescent="0.3">
      <c r="B1056" s="34"/>
      <c r="C1056" s="72" t="str">
        <f>_xlfn.CONCAT(_xlfn.XLOOKUP("[S05_CategoryCHighestTierNotApplied][20][InstallationID]",Submission!$O:$O,Submission!$H:$N,""))</f>
        <v>1013</v>
      </c>
      <c r="D1056" s="72" t="str">
        <f>_xlfn.CONCAT(_xlfn.XLOOKUP("[S05_CategoryCHighestTierNotApplied][20][SourceStreamAffected]",Submission!$O:$O,Submission!$H:$N,""))</f>
        <v>VB-Heizgas</v>
      </c>
      <c r="E1056" s="72" t="str">
        <f>_xlfn.CONCAT(_xlfn.XLOOKUP("[S05_CategoryCHighestTierNotApplied][20][EmissionSourceAffected]",Submission!$O:$O,Submission!$H:$N,""))</f>
        <v/>
      </c>
      <c r="F1056" s="72" t="str">
        <f>_xlfn.CONCAT(_xlfn.XLOOKUP("[S05_CategoryCHighestTierNotApplied][20][MonitoringParameterAffected]",Submission!$O:$O,Submission!$H:$N,""))</f>
        <v>Quantity of fuel</v>
      </c>
      <c r="G1056" s="89" t="str">
        <f>_xlfn.CONCAT(_xlfn.XLOOKUP("[S05_CategoryCHighestTierNotApplied][20][HighestTierRequired]",Submission!$O:$O,Submission!$H:$N,""))</f>
        <v>Tier 4</v>
      </c>
      <c r="H1056" s="240" t="str">
        <f>_xlfn.CONCAT(_xlfn.XLOOKUP("[S05_CategoryCHighestTierNotApplied][20][TierInPractice]",Submission!$O:$O,Submission!$H:$N,""))</f>
        <v>Tier 3</v>
      </c>
      <c r="I1056" s="242"/>
    </row>
    <row r="1057" spans="1:9" ht="24.6" hidden="1" customHeight="1" outlineLevel="1" x14ac:dyDescent="0.3">
      <c r="B1057" s="34"/>
      <c r="C1057" s="72" t="str">
        <f>_xlfn.CONCAT(_xlfn.XLOOKUP("[S05_CategoryCHighestTierNotApplied][21][InstallationID]",Submission!$O:$O,Submission!$H:$N,""))</f>
        <v>1014</v>
      </c>
      <c r="D1057" s="72" t="str">
        <f>_xlfn.CONCAT(_xlfn.XLOOKUP("[S05_CategoryCHighestTierNotApplied][21][SourceStreamAffected]",Submission!$O:$O,Submission!$H:$N,""))</f>
        <v>Gas zur Raffineriefackel</v>
      </c>
      <c r="E1057" s="72" t="str">
        <f>_xlfn.CONCAT(_xlfn.XLOOKUP("[S05_CategoryCHighestTierNotApplied][21][EmissionSourceAffected]",Submission!$O:$O,Submission!$H:$N,""))</f>
        <v/>
      </c>
      <c r="F1057" s="72" t="str">
        <f>_xlfn.CONCAT(_xlfn.XLOOKUP("[S05_CategoryCHighestTierNotApplied][21][MonitoringParameterAffected]",Submission!$O:$O,Submission!$H:$N,""))</f>
        <v>Emission factor</v>
      </c>
      <c r="G1057" s="89" t="str">
        <f>_xlfn.CONCAT(_xlfn.XLOOKUP("[S05_CategoryCHighestTierNotApplied][21][HighestTierRequired]",Submission!$O:$O,Submission!$H:$N,""))</f>
        <v>Tier 3</v>
      </c>
      <c r="H1057" s="240" t="str">
        <f>_xlfn.CONCAT(_xlfn.XLOOKUP("[S05_CategoryCHighestTierNotApplied][21][TierInPractice]",Submission!$O:$O,Submission!$H:$N,""))</f>
        <v>Tier 1</v>
      </c>
      <c r="I1057" s="242"/>
    </row>
    <row r="1058" spans="1:9" ht="24.6" hidden="1" customHeight="1" outlineLevel="1" x14ac:dyDescent="0.3">
      <c r="B1058" s="34"/>
      <c r="C1058" s="72" t="str">
        <f>_xlfn.CONCAT(_xlfn.XLOOKUP("[S05_CategoryCHighestTierNotApplied][22][InstallationID]",Submission!$O:$O,Submission!$H:$N,""))</f>
        <v>1015</v>
      </c>
      <c r="D1058" s="72" t="str">
        <f>_xlfn.CONCAT(_xlfn.XLOOKUP("[S05_CategoryCHighestTierNotApplied][22][SourceStreamAffected]",Submission!$O:$O,Submission!$H:$N,""))</f>
        <v>Einsatzgas/Raffineriegas STR</v>
      </c>
      <c r="E1058" s="72" t="str">
        <f>_xlfn.CONCAT(_xlfn.XLOOKUP("[S05_CategoryCHighestTierNotApplied][22][EmissionSourceAffected]",Submission!$O:$O,Submission!$H:$N,""))</f>
        <v/>
      </c>
      <c r="F1058" s="72" t="str">
        <f>_xlfn.CONCAT(_xlfn.XLOOKUP("[S05_CategoryCHighestTierNotApplied][22][MonitoringParameterAffected]",Submission!$O:$O,Submission!$H:$N,""))</f>
        <v>Emission factor</v>
      </c>
      <c r="G1058" s="89" t="str">
        <f>_xlfn.CONCAT(_xlfn.XLOOKUP("[S05_CategoryCHighestTierNotApplied][22][HighestTierRequired]",Submission!$O:$O,Submission!$H:$N,""))</f>
        <v>Tier 3</v>
      </c>
      <c r="H1058" s="240" t="str">
        <f>_xlfn.CONCAT(_xlfn.XLOOKUP("[S05_CategoryCHighestTierNotApplied][22][TierInPractice]",Submission!$O:$O,Submission!$H:$N,""))</f>
        <v>Tier 2b</v>
      </c>
      <c r="I1058" s="242"/>
    </row>
    <row r="1059" spans="1:9" ht="24.6" hidden="1" customHeight="1" outlineLevel="1" x14ac:dyDescent="0.3">
      <c r="B1059" s="34"/>
      <c r="C1059" s="72" t="str">
        <f>_xlfn.CONCAT(_xlfn.XLOOKUP("[S05_CategoryCHighestTierNotApplied][23][InstallationID]",Submission!$O:$O,Submission!$H:$N,""))</f>
        <v>1015</v>
      </c>
      <c r="D1059" s="72" t="str">
        <f>_xlfn.CONCAT(_xlfn.XLOOKUP("[S05_CategoryCHighestTierNotApplied][23][SourceStreamAffected]",Submission!$O:$O,Submission!$H:$N,""))</f>
        <v>Heizgas GAS-A581</v>
      </c>
      <c r="E1059" s="72" t="str">
        <f>_xlfn.CONCAT(_xlfn.XLOOKUP("[S05_CategoryCHighestTierNotApplied][23][EmissionSourceAffected]",Submission!$O:$O,Submission!$H:$N,""))</f>
        <v/>
      </c>
      <c r="F1059" s="72" t="str">
        <f>_xlfn.CONCAT(_xlfn.XLOOKUP("[S05_CategoryCHighestTierNotApplied][23][MonitoringParameterAffected]",Submission!$O:$O,Submission!$H:$N,""))</f>
        <v>Emission factor</v>
      </c>
      <c r="G1059" s="89" t="str">
        <f>_xlfn.CONCAT(_xlfn.XLOOKUP("[S05_CategoryCHighestTierNotApplied][23][HighestTierRequired]",Submission!$O:$O,Submission!$H:$N,""))</f>
        <v>Tier 3</v>
      </c>
      <c r="H1059" s="240" t="str">
        <f>_xlfn.CONCAT(_xlfn.XLOOKUP("[S05_CategoryCHighestTierNotApplied][23][TierInPractice]",Submission!$O:$O,Submission!$H:$N,""))</f>
        <v>Tier 2b</v>
      </c>
      <c r="I1059" s="242"/>
    </row>
    <row r="1060" spans="1:9" ht="24.6" hidden="1" customHeight="1" outlineLevel="1" x14ac:dyDescent="0.3">
      <c r="A1060" s="13"/>
      <c r="B1060" s="34"/>
      <c r="C1060" s="72" t="str">
        <f>_xlfn.CONCAT(_xlfn.XLOOKUP("[S05_CategoryCHighestTierNotApplied][24][InstallationID]",Submission!$O:$O,Submission!$H:$N,""))</f>
        <v>1015</v>
      </c>
      <c r="D1060" s="72" t="str">
        <f>_xlfn.CONCAT(_xlfn.XLOOKUP("[S05_CategoryCHighestTierNotApplied][24][SourceStreamAffected]",Submission!$O:$O,Submission!$H:$N,""))</f>
        <v>Heizgas MEA-A601</v>
      </c>
      <c r="E1060" s="72" t="str">
        <f>_xlfn.CONCAT(_xlfn.XLOOKUP("[S05_CategoryCHighestTierNotApplied][24][EmissionSourceAffected]",Submission!$O:$O,Submission!$H:$N,""))</f>
        <v/>
      </c>
      <c r="F1060" s="72" t="str">
        <f>_xlfn.CONCAT(_xlfn.XLOOKUP("[S05_CategoryCHighestTierNotApplied][24][MonitoringParameterAffected]",Submission!$O:$O,Submission!$H:$N,""))</f>
        <v>Emission factor</v>
      </c>
      <c r="G1060" s="89" t="str">
        <f>_xlfn.CONCAT(_xlfn.XLOOKUP("[S05_CategoryCHighestTierNotApplied][24][HighestTierRequired]",Submission!$O:$O,Submission!$H:$N,""))</f>
        <v>Tier 3</v>
      </c>
      <c r="H1060" s="240" t="str">
        <f>_xlfn.CONCAT(_xlfn.XLOOKUP("[S05_CategoryCHighestTierNotApplied][24][TierInPractice]",Submission!$O:$O,Submission!$H:$N,""))</f>
        <v>Tier 2b</v>
      </c>
      <c r="I1060" s="242"/>
    </row>
    <row r="1061" spans="1:9" ht="24.6" hidden="1" customHeight="1" outlineLevel="1" x14ac:dyDescent="0.3">
      <c r="A1061" s="13"/>
      <c r="B1061" s="34"/>
      <c r="C1061" s="72" t="str">
        <f>_xlfn.CONCAT(_xlfn.XLOOKUP("[S05_CategoryCHighestTierNotApplied][25][InstallationID]",Submission!$O:$O,Submission!$H:$N,""))</f>
        <v>1035</v>
      </c>
      <c r="D1061" s="72" t="str">
        <f>_xlfn.CONCAT(_xlfn.XLOOKUP("[S05_CategoryCHighestTierNotApplied][25][SourceStreamAffected]",Submission!$O:$O,Submission!$H:$N,""))</f>
        <v>Koksgruslagerveränderung Input</v>
      </c>
      <c r="E1061" s="72" t="str">
        <f>_xlfn.CONCAT(_xlfn.XLOOKUP("[S05_CategoryCHighestTierNotApplied][25][EmissionSourceAffected]",Submission!$O:$O,Submission!$H:$N,""))</f>
        <v/>
      </c>
      <c r="F1061" s="72" t="str">
        <f>_xlfn.CONCAT(_xlfn.XLOOKUP("[S05_CategoryCHighestTierNotApplied][25][MonitoringParameterAffected]",Submission!$O:$O,Submission!$H:$N,""))</f>
        <v>Quantity of material</v>
      </c>
      <c r="G1061" s="89" t="str">
        <f>_xlfn.CONCAT(_xlfn.XLOOKUP("[S05_CategoryCHighestTierNotApplied][25][HighestTierRequired]",Submission!$O:$O,Submission!$H:$N,""))</f>
        <v>Tier 4</v>
      </c>
      <c r="H1061" s="240" t="str">
        <f>_xlfn.CONCAT(_xlfn.XLOOKUP("[S05_CategoryCHighestTierNotApplied][25][TierInPractice]",Submission!$O:$O,Submission!$H:$N,""))</f>
        <v>Tier 2</v>
      </c>
      <c r="I1061" s="242"/>
    </row>
    <row r="1062" spans="1:9" ht="24.6" hidden="1" customHeight="1" outlineLevel="1" x14ac:dyDescent="0.3">
      <c r="B1062" s="34"/>
      <c r="C1062" s="72" t="str">
        <f>_xlfn.CONCAT(_xlfn.XLOOKUP("[S05_CategoryCHighestTierNotApplied][26][InstallationID]",Submission!$O:$O,Submission!$H:$N,""))</f>
        <v>1035</v>
      </c>
      <c r="D1062" s="72" t="str">
        <f>_xlfn.CONCAT(_xlfn.XLOOKUP("[S05_CategoryCHighestTierNotApplied][26][SourceStreamAffected]",Submission!$O:$O,Submission!$H:$N,""))</f>
        <v>Kokslagerveränderung Input</v>
      </c>
      <c r="E1062" s="72" t="str">
        <f>_xlfn.CONCAT(_xlfn.XLOOKUP("[S05_CategoryCHighestTierNotApplied][26][EmissionSourceAffected]",Submission!$O:$O,Submission!$H:$N,""))</f>
        <v/>
      </c>
      <c r="F1062" s="72" t="str">
        <f>_xlfn.CONCAT(_xlfn.XLOOKUP("[S05_CategoryCHighestTierNotApplied][26][MonitoringParameterAffected]",Submission!$O:$O,Submission!$H:$N,""))</f>
        <v>Quantity of material</v>
      </c>
      <c r="G1062" s="89" t="str">
        <f>_xlfn.CONCAT(_xlfn.XLOOKUP("[S05_CategoryCHighestTierNotApplied][26][HighestTierRequired]",Submission!$O:$O,Submission!$H:$N,""))</f>
        <v>Tier 4</v>
      </c>
      <c r="H1062" s="240" t="str">
        <f>_xlfn.CONCAT(_xlfn.XLOOKUP("[S05_CategoryCHighestTierNotApplied][26][TierInPractice]",Submission!$O:$O,Submission!$H:$N,""))</f>
        <v>Tier 2</v>
      </c>
      <c r="I1062" s="242"/>
    </row>
    <row r="1063" spans="1:9" ht="24.6" hidden="1" customHeight="1" outlineLevel="1" x14ac:dyDescent="0.3">
      <c r="A1063" s="13"/>
      <c r="B1063" s="34"/>
      <c r="C1063" s="72" t="str">
        <f>_xlfn.CONCAT(_xlfn.XLOOKUP("[S05_CategoryCHighestTierNotApplied][27][InstallationID]",Submission!$O:$O,Submission!$H:$N,""))</f>
        <v>1056</v>
      </c>
      <c r="D1063" s="72" t="str">
        <f>_xlfn.CONCAT(_xlfn.XLOOKUP("[S05_CategoryCHighestTierNotApplied][27][SourceStreamAffected]",Submission!$O:$O,Submission!$H:$N,""))</f>
        <v>Mischgas</v>
      </c>
      <c r="E1063" s="72" t="str">
        <f>_xlfn.CONCAT(_xlfn.XLOOKUP("[S05_CategoryCHighestTierNotApplied][27][EmissionSourceAffected]",Submission!$O:$O,Submission!$H:$N,""))</f>
        <v/>
      </c>
      <c r="F1063" s="72" t="str">
        <f>_xlfn.CONCAT(_xlfn.XLOOKUP("[S05_CategoryCHighestTierNotApplied][27][MonitoringParameterAffected]",Submission!$O:$O,Submission!$H:$N,""))</f>
        <v>Quantity of fuel</v>
      </c>
      <c r="G1063" s="89" t="str">
        <f>_xlfn.CONCAT(_xlfn.XLOOKUP("[S05_CategoryCHighestTierNotApplied][27][HighestTierRequired]",Submission!$O:$O,Submission!$H:$N,""))</f>
        <v>Tier 4</v>
      </c>
      <c r="H1063" s="240" t="str">
        <f>_xlfn.CONCAT(_xlfn.XLOOKUP("[S05_CategoryCHighestTierNotApplied][27][TierInPractice]",Submission!$O:$O,Submission!$H:$N,""))</f>
        <v>Tier 3</v>
      </c>
      <c r="I1063" s="242"/>
    </row>
    <row r="1064" spans="1:9" ht="24.6" hidden="1" customHeight="1" outlineLevel="1" x14ac:dyDescent="0.3">
      <c r="A1064" s="13"/>
      <c r="B1064" s="34"/>
      <c r="C1064" s="72" t="str">
        <f>_xlfn.CONCAT(_xlfn.XLOOKUP("[S05_CategoryCHighestTierNotApplied][28][InstallationID]",Submission!$O:$O,Submission!$H:$N,""))</f>
        <v>1166</v>
      </c>
      <c r="D1064" s="72" t="str">
        <f>_xlfn.CONCAT(_xlfn.XLOOKUP("[S05_CategoryCHighestTierNotApplied][28][SourceStreamAffected]",Submission!$O:$O,Submission!$H:$N,""))</f>
        <v>BGS-SZ</v>
      </c>
      <c r="E1064" s="72" t="str">
        <f>_xlfn.CONCAT(_xlfn.XLOOKUP("[S05_CategoryCHighestTierNotApplied][28][EmissionSourceAffected]",Submission!$O:$O,Submission!$H:$N,""))</f>
        <v/>
      </c>
      <c r="F1064" s="72" t="str">
        <f>_xlfn.CONCAT(_xlfn.XLOOKUP("[S05_CategoryCHighestTierNotApplied][28][MonitoringParameterAffected]",Submission!$O:$O,Submission!$H:$N,""))</f>
        <v>Quantity of fuel</v>
      </c>
      <c r="G1064" s="89" t="str">
        <f>_xlfn.CONCAT(_xlfn.XLOOKUP("[S05_CategoryCHighestTierNotApplied][28][HighestTierRequired]",Submission!$O:$O,Submission!$H:$N,""))</f>
        <v>Tier 4</v>
      </c>
      <c r="H1064" s="240" t="str">
        <f>_xlfn.CONCAT(_xlfn.XLOOKUP("[S05_CategoryCHighestTierNotApplied][28][TierInPractice]",Submission!$O:$O,Submission!$H:$N,""))</f>
        <v>Tier 3</v>
      </c>
      <c r="I1064" s="242"/>
    </row>
    <row r="1065" spans="1:9" ht="24.6" hidden="1" customHeight="1" outlineLevel="1" x14ac:dyDescent="0.3">
      <c r="A1065" s="13"/>
      <c r="B1065" s="34"/>
      <c r="C1065" s="72" t="str">
        <f>_xlfn.CONCAT(_xlfn.XLOOKUP("[S05_CategoryCHighestTierNotApplied][29][InstallationID]",Submission!$O:$O,Submission!$H:$N,""))</f>
        <v>1190</v>
      </c>
      <c r="D1065" s="72" t="str">
        <f>_xlfn.CONCAT(_xlfn.XLOOKUP("[S05_CategoryCHighestTierNotApplied][29][SourceStreamAffected]",Submission!$O:$O,Submission!$H:$N,""))</f>
        <v>Altreifen</v>
      </c>
      <c r="E1065" s="72" t="str">
        <f>_xlfn.CONCAT(_xlfn.XLOOKUP("[S05_CategoryCHighestTierNotApplied][29][EmissionSourceAffected]",Submission!$O:$O,Submission!$H:$N,""))</f>
        <v/>
      </c>
      <c r="F1065" s="72" t="str">
        <f>_xlfn.CONCAT(_xlfn.XLOOKUP("[S05_CategoryCHighestTierNotApplied][29][MonitoringParameterAffected]",Submission!$O:$O,Submission!$H:$N,""))</f>
        <v>Biomass fraction</v>
      </c>
      <c r="G1065" s="89" t="str">
        <f>_xlfn.CONCAT(_xlfn.XLOOKUP("[S05_CategoryCHighestTierNotApplied][29][HighestTierRequired]",Submission!$O:$O,Submission!$H:$N,""))</f>
        <v>Tier 3</v>
      </c>
      <c r="H1065" s="240" t="str">
        <f>_xlfn.CONCAT(_xlfn.XLOOKUP("[S05_CategoryCHighestTierNotApplied][29][TierInPractice]",Submission!$O:$O,Submission!$H:$N,""))</f>
        <v>Tier 1</v>
      </c>
      <c r="I1065" s="242"/>
    </row>
    <row r="1066" spans="1:9" ht="24.6" hidden="1" customHeight="1" outlineLevel="1" x14ac:dyDescent="0.3">
      <c r="A1066" s="13"/>
      <c r="B1066" s="34"/>
      <c r="C1066" s="72" t="str">
        <f>_xlfn.CONCAT(_xlfn.XLOOKUP("[S05_CategoryCHighestTierNotApplied][30][InstallationID]",Submission!$O:$O,Submission!$H:$N,""))</f>
        <v>1190</v>
      </c>
      <c r="D1066" s="72" t="str">
        <f>_xlfn.CONCAT(_xlfn.XLOOKUP("[S05_CategoryCHighestTierNotApplied][30][SourceStreamAffected]",Submission!$O:$O,Submission!$H:$N,""))</f>
        <v>Altreifen</v>
      </c>
      <c r="E1066" s="72" t="str">
        <f>_xlfn.CONCAT(_xlfn.XLOOKUP("[S05_CategoryCHighestTierNotApplied][30][EmissionSourceAffected]",Submission!$O:$O,Submission!$H:$N,""))</f>
        <v/>
      </c>
      <c r="F1066" s="72" t="str">
        <f>_xlfn.CONCAT(_xlfn.XLOOKUP("[S05_CategoryCHighestTierNotApplied][30][MonitoringParameterAffected]",Submission!$O:$O,Submission!$H:$N,""))</f>
        <v>Emission factor</v>
      </c>
      <c r="G1066" s="89" t="str">
        <f>_xlfn.CONCAT(_xlfn.XLOOKUP("[S05_CategoryCHighestTierNotApplied][30][HighestTierRequired]",Submission!$O:$O,Submission!$H:$N,""))</f>
        <v>Tier 3</v>
      </c>
      <c r="H1066" s="240" t="str">
        <f>_xlfn.CONCAT(_xlfn.XLOOKUP("[S05_CategoryCHighestTierNotApplied][30][TierInPractice]",Submission!$O:$O,Submission!$H:$N,""))</f>
        <v>Tier 2a</v>
      </c>
      <c r="I1066" s="242"/>
    </row>
    <row r="1067" spans="1:9" ht="24.6" hidden="1" customHeight="1" outlineLevel="1" x14ac:dyDescent="0.3">
      <c r="A1067" s="13"/>
      <c r="B1067" s="34"/>
      <c r="C1067" s="72" t="str">
        <f>_xlfn.CONCAT(_xlfn.XLOOKUP("[S05_CategoryCHighestTierNotApplied][31][InstallationID]",Submission!$O:$O,Submission!$H:$N,""))</f>
        <v>1190</v>
      </c>
      <c r="D1067" s="72" t="str">
        <f>_xlfn.CONCAT(_xlfn.XLOOKUP("[S05_CategoryCHighestTierNotApplied][31][SourceStreamAffected]",Submission!$O:$O,Submission!$H:$N,""))</f>
        <v>Altreifen</v>
      </c>
      <c r="E1067" s="72" t="str">
        <f>_xlfn.CONCAT(_xlfn.XLOOKUP("[S05_CategoryCHighestTierNotApplied][31][EmissionSourceAffected]",Submission!$O:$O,Submission!$H:$N,""))</f>
        <v/>
      </c>
      <c r="F1067" s="72" t="str">
        <f>_xlfn.CONCAT(_xlfn.XLOOKUP("[S05_CategoryCHighestTierNotApplied][31][MonitoringParameterAffected]",Submission!$O:$O,Submission!$H:$N,""))</f>
        <v>Net calorific value</v>
      </c>
      <c r="G1067" s="89" t="str">
        <f>_xlfn.CONCAT(_xlfn.XLOOKUP("[S05_CategoryCHighestTierNotApplied][31][HighestTierRequired]",Submission!$O:$O,Submission!$H:$N,""))</f>
        <v>Tier 3</v>
      </c>
      <c r="H1067" s="240" t="str">
        <f>_xlfn.CONCAT(_xlfn.XLOOKUP("[S05_CategoryCHighestTierNotApplied][31][TierInPractice]",Submission!$O:$O,Submission!$H:$N,""))</f>
        <v>Tier 2a</v>
      </c>
      <c r="I1067" s="242"/>
    </row>
    <row r="1068" spans="1:9" ht="24.6" hidden="1" customHeight="1" outlineLevel="1" x14ac:dyDescent="0.3">
      <c r="B1068" s="34"/>
      <c r="C1068" s="72" t="str">
        <f>_xlfn.CONCAT(_xlfn.XLOOKUP("[S05_CategoryCHighestTierNotApplied][32][InstallationID]",Submission!$O:$O,Submission!$H:$N,""))</f>
        <v>1803</v>
      </c>
      <c r="D1068" s="72" t="str">
        <f>_xlfn.CONCAT(_xlfn.XLOOKUP("[S05_CategoryCHighestTierNotApplied][32][SourceStreamAffected]",Submission!$O:$O,Submission!$H:$N,""))</f>
        <v>Abscheidesäuregemisch</v>
      </c>
      <c r="E1068" s="72" t="str">
        <f>_xlfn.CONCAT(_xlfn.XLOOKUP("[S05_CategoryCHighestTierNotApplied][32][EmissionSourceAffected]",Submission!$O:$O,Submission!$H:$N,""))</f>
        <v/>
      </c>
      <c r="F1068" s="72" t="str">
        <f>_xlfn.CONCAT(_xlfn.XLOOKUP("[S05_CategoryCHighestTierNotApplied][32][MonitoringParameterAffected]",Submission!$O:$O,Submission!$H:$N,""))</f>
        <v>Quantity of fuel</v>
      </c>
      <c r="G1068" s="89" t="str">
        <f>_xlfn.CONCAT(_xlfn.XLOOKUP("[S05_CategoryCHighestTierNotApplied][32][HighestTierRequired]",Submission!$O:$O,Submission!$H:$N,""))</f>
        <v>Tier 4</v>
      </c>
      <c r="H1068" s="240" t="str">
        <f>_xlfn.CONCAT(_xlfn.XLOOKUP("[S05_CategoryCHighestTierNotApplied][32][TierInPractice]",Submission!$O:$O,Submission!$H:$N,""))</f>
        <v>Tier 3</v>
      </c>
      <c r="I1068" s="242"/>
    </row>
    <row r="1069" spans="1:9" ht="24.6" hidden="1" customHeight="1" outlineLevel="1" x14ac:dyDescent="0.3">
      <c r="A1069" s="13"/>
      <c r="B1069" s="34"/>
      <c r="C1069" s="72" t="str">
        <f>_xlfn.CONCAT(_xlfn.XLOOKUP("[S05_CategoryCHighestTierNotApplied][33][InstallationID]",Submission!$O:$O,Submission!$H:$N,""))</f>
        <v>1867</v>
      </c>
      <c r="D1069" s="72" t="str">
        <f>_xlfn.CONCAT(_xlfn.XLOOKUP("[S05_CategoryCHighestTierNotApplied][33][SourceStreamAffected]",Submission!$O:$O,Submission!$H:$N,""))</f>
        <v>Clausgas (CG)</v>
      </c>
      <c r="E1069" s="72" t="str">
        <f>_xlfn.CONCAT(_xlfn.XLOOKUP("[S05_CategoryCHighestTierNotApplied][33][EmissionSourceAffected]",Submission!$O:$O,Submission!$H:$N,""))</f>
        <v/>
      </c>
      <c r="F1069" s="72" t="str">
        <f>_xlfn.CONCAT(_xlfn.XLOOKUP("[S05_CategoryCHighestTierNotApplied][33][MonitoringParameterAffected]",Submission!$O:$O,Submission!$H:$N,""))</f>
        <v>Quantity of fuel</v>
      </c>
      <c r="G1069" s="89" t="str">
        <f>_xlfn.CONCAT(_xlfn.XLOOKUP("[S05_CategoryCHighestTierNotApplied][33][HighestTierRequired]",Submission!$O:$O,Submission!$H:$N,""))</f>
        <v>Tier 4</v>
      </c>
      <c r="H1069" s="240" t="str">
        <f>_xlfn.CONCAT(_xlfn.XLOOKUP("[S05_CategoryCHighestTierNotApplied][33][TierInPractice]",Submission!$O:$O,Submission!$H:$N,""))</f>
        <v>Tier 3</v>
      </c>
      <c r="I1069" s="242"/>
    </row>
    <row r="1070" spans="1:9" ht="24.6" hidden="1" customHeight="1" outlineLevel="1" x14ac:dyDescent="0.3">
      <c r="A1070" s="13"/>
      <c r="B1070" s="34"/>
      <c r="C1070" s="72" t="str">
        <f>_xlfn.CONCAT(_xlfn.XLOOKUP("[S05_CategoryCHighestTierNotApplied][34][InstallationID]",Submission!$O:$O,Submission!$H:$N,""))</f>
        <v>1867</v>
      </c>
      <c r="D1070" s="72" t="str">
        <f>_xlfn.CONCAT(_xlfn.XLOOKUP("[S05_CategoryCHighestTierNotApplied][34][SourceStreamAffected]",Submission!$O:$O,Submission!$H:$N,""))</f>
        <v>Erdgas</v>
      </c>
      <c r="E1070" s="72" t="str">
        <f>_xlfn.CONCAT(_xlfn.XLOOKUP("[S05_CategoryCHighestTierNotApplied][34][EmissionSourceAffected]",Submission!$O:$O,Submission!$H:$N,""))</f>
        <v/>
      </c>
      <c r="F1070" s="72" t="str">
        <f>_xlfn.CONCAT(_xlfn.XLOOKUP("[S05_CategoryCHighestTierNotApplied][34][MonitoringParameterAffected]",Submission!$O:$O,Submission!$H:$N,""))</f>
        <v>Quantity of fuel</v>
      </c>
      <c r="G1070" s="89" t="str">
        <f>_xlfn.CONCAT(_xlfn.XLOOKUP("[S05_CategoryCHighestTierNotApplied][34][HighestTierRequired]",Submission!$O:$O,Submission!$H:$N,""))</f>
        <v>Tier 4</v>
      </c>
      <c r="H1070" s="240" t="str">
        <f>_xlfn.CONCAT(_xlfn.XLOOKUP("[S05_CategoryCHighestTierNotApplied][34][TierInPractice]",Submission!$O:$O,Submission!$H:$N,""))</f>
        <v>Tier 3</v>
      </c>
      <c r="I1070" s="242"/>
    </row>
    <row r="1071" spans="1:9" ht="24.6" hidden="1" customHeight="1" outlineLevel="1" x14ac:dyDescent="0.3">
      <c r="A1071" s="13"/>
      <c r="B1071" s="34"/>
      <c r="C1071" s="72" t="str">
        <f>_xlfn.CONCAT(_xlfn.XLOOKUP("[S05_CategoryCHighestTierNotApplied][35][InstallationID]",Submission!$O:$O,Submission!$H:$N,""))</f>
        <v>2233</v>
      </c>
      <c r="D1071" s="72" t="str">
        <f>_xlfn.CONCAT(_xlfn.XLOOKUP("[S05_CategoryCHighestTierNotApplied][35][SourceStreamAffected]",Submission!$O:$O,Submission!$H:$N,""))</f>
        <v>Hochofengas</v>
      </c>
      <c r="E1071" s="72" t="str">
        <f>_xlfn.CONCAT(_xlfn.XLOOKUP("[S05_CategoryCHighestTierNotApplied][35][EmissionSourceAffected]",Submission!$O:$O,Submission!$H:$N,""))</f>
        <v/>
      </c>
      <c r="F1071" s="72" t="str">
        <f>_xlfn.CONCAT(_xlfn.XLOOKUP("[S05_CategoryCHighestTierNotApplied][35][MonitoringParameterAffected]",Submission!$O:$O,Submission!$H:$N,""))</f>
        <v>Quantity of fuel</v>
      </c>
      <c r="G1071" s="89" t="str">
        <f>_xlfn.CONCAT(_xlfn.XLOOKUP("[S05_CategoryCHighestTierNotApplied][35][HighestTierRequired]",Submission!$O:$O,Submission!$H:$N,""))</f>
        <v>Tier 4</v>
      </c>
      <c r="H1071" s="240" t="str">
        <f>_xlfn.CONCAT(_xlfn.XLOOKUP("[S05_CategoryCHighestTierNotApplied][35][TierInPractice]",Submission!$O:$O,Submission!$H:$N,""))</f>
        <v>Tier 3</v>
      </c>
      <c r="I1071" s="242"/>
    </row>
    <row r="1072" spans="1:9" ht="24.6" hidden="1" customHeight="1" outlineLevel="1" x14ac:dyDescent="0.3">
      <c r="B1072" s="34"/>
      <c r="C1072" s="72" t="str">
        <f>_xlfn.CONCAT(_xlfn.XLOOKUP("[S05_CategoryCHighestTierNotApplied][36][InstallationID]",Submission!$O:$O,Submission!$H:$N,""))</f>
        <v>2362</v>
      </c>
      <c r="D1072" s="72" t="str">
        <f>_xlfn.CONCAT(_xlfn.XLOOKUP("[S05_CategoryCHighestTierNotApplied][36][SourceStreamAffected]",Submission!$O:$O,Submission!$H:$N,""))</f>
        <v>Braunkohlenschlamm</v>
      </c>
      <c r="E1072" s="72" t="str">
        <f>_xlfn.CONCAT(_xlfn.XLOOKUP("[S05_CategoryCHighestTierNotApplied][36][EmissionSourceAffected]",Submission!$O:$O,Submission!$H:$N,""))</f>
        <v/>
      </c>
      <c r="F1072" s="72" t="str">
        <f>_xlfn.CONCAT(_xlfn.XLOOKUP("[S05_CategoryCHighestTierNotApplied][36][MonitoringParameterAffected]",Submission!$O:$O,Submission!$H:$N,""))</f>
        <v>Quantity of fuel</v>
      </c>
      <c r="G1072" s="89" t="str">
        <f>_xlfn.CONCAT(_xlfn.XLOOKUP("[S05_CategoryCHighestTierNotApplied][36][HighestTierRequired]",Submission!$O:$O,Submission!$H:$N,""))</f>
        <v>Tier 4</v>
      </c>
      <c r="H1072" s="240" t="str">
        <f>_xlfn.CONCAT(_xlfn.XLOOKUP("[S05_CategoryCHighestTierNotApplied][36][TierInPractice]",Submission!$O:$O,Submission!$H:$N,""))</f>
        <v>Tier 3</v>
      </c>
      <c r="I1072" s="242"/>
    </row>
    <row r="1073" spans="1:9" ht="24.6" hidden="1" customHeight="1" outlineLevel="1" x14ac:dyDescent="0.3">
      <c r="B1073" s="34"/>
      <c r="C1073" s="72" t="str">
        <f>_xlfn.CONCAT(_xlfn.XLOOKUP("[S05_CategoryCHighestTierNotApplied][37][InstallationID]",Submission!$O:$O,Submission!$H:$N,""))</f>
        <v>1002</v>
      </c>
      <c r="D1073" s="72" t="str">
        <f>_xlfn.CONCAT(_xlfn.XLOOKUP("[S05_CategoryCHighestTierNotApplied][37][SourceStreamAffected]",Submission!$O:$O,Submission!$H:$N,""))</f>
        <v/>
      </c>
      <c r="E1073" s="72" t="str">
        <f>_xlfn.CONCAT(_xlfn.XLOOKUP("[S05_CategoryCHighestTierNotApplied][37][EmissionSourceAffected]",Submission!$O:$O,Submission!$H:$N,""))</f>
        <v>Fluid Catalytic Cracking (FCC) - Regenerator-Abgas 
Das Abgas wird kontinuierlich auf verschieden Komponenten analysiert.  
Die in den Regenerator eingeleitete Luftmenge (Airblower) geht in die Berechnung ein</v>
      </c>
      <c r="F1073" s="72" t="str">
        <f>_xlfn.CONCAT(_xlfn.XLOOKUP("[S05_CategoryCHighestTierNotApplied][37][MonitoringParameterAffected]",Submission!$O:$O,Submission!$H:$N,""))</f>
        <v>Annual average hourly emissions in kg/h from the source</v>
      </c>
      <c r="G1073" s="89" t="str">
        <f>_xlfn.CONCAT(_xlfn.XLOOKUP("[S05_CategoryCHighestTierNotApplied][37][HighestTierRequired]",Submission!$O:$O,Submission!$H:$N,""))</f>
        <v>Tier 4</v>
      </c>
      <c r="H1073" s="240" t="str">
        <f>_xlfn.CONCAT(_xlfn.XLOOKUP("[S05_CategoryCHighestTierNotApplied][37][TierInPractice]",Submission!$O:$O,Submission!$H:$N,""))</f>
        <v>Tier 3</v>
      </c>
      <c r="I1073" s="242"/>
    </row>
    <row r="1074" spans="1:9" ht="24.6" hidden="1" customHeight="1" outlineLevel="1" x14ac:dyDescent="0.3">
      <c r="A1074" s="13"/>
      <c r="B1074" s="34"/>
      <c r="C1074" s="72" t="str">
        <f>_xlfn.CONCAT(_xlfn.XLOOKUP("[S05_CategoryCHighestTierNotApplied][38][InstallationID]",Submission!$O:$O,Submission!$H:$N,""))</f>
        <v>1004</v>
      </c>
      <c r="D1074" s="72" t="str">
        <f>_xlfn.CONCAT(_xlfn.XLOOKUP("[S05_CategoryCHighestTierNotApplied][38][SourceStreamAffected]",Submission!$O:$O,Submission!$H:$N,""))</f>
        <v/>
      </c>
      <c r="E1074" s="72" t="str">
        <f>_xlfn.CONCAT(_xlfn.XLOOKUP("[S05_CategoryCHighestTierNotApplied][38][EmissionSourceAffected]",Submission!$O:$O,Submission!$H:$N,""))</f>
        <v>In den Kalzinern 1 und 2 (Anlage 24 und 25) wird Rohkoks aus dem Koker (Anlage 2) veredelt. Bei der Veredelung (Trocknen des Koks, Austreiben von flüchtigen Bestandteilen sowie Umwandeln der Kristallstruktur) fallen prozessbedingt CO2-Emissionen an. Zusammen mit  den prozeßbedingten Emissionen werden auch die energiebedingten Emissionen (Heizgas) über die Rauchgasmengenmessung sowie der CO2- und H2O-Analyse im gemeinsamen Rauchgaskanal zum Kamin 1 bestimmt.</v>
      </c>
      <c r="F1074" s="72" t="str">
        <f>_xlfn.CONCAT(_xlfn.XLOOKUP("[S05_CategoryCHighestTierNotApplied][38][MonitoringParameterAffected]",Submission!$O:$O,Submission!$H:$N,""))</f>
        <v>Annual average hourly emissions in kg/h from the source</v>
      </c>
      <c r="G1074" s="89" t="str">
        <f>_xlfn.CONCAT(_xlfn.XLOOKUP("[S05_CategoryCHighestTierNotApplied][38][HighestTierRequired]",Submission!$O:$O,Submission!$H:$N,""))</f>
        <v>Tier 4</v>
      </c>
      <c r="H1074" s="240" t="str">
        <f>_xlfn.CONCAT(_xlfn.XLOOKUP("[S05_CategoryCHighestTierNotApplied][38][TierInPractice]",Submission!$O:$O,Submission!$H:$N,""))</f>
        <v>Tier 3</v>
      </c>
      <c r="I1074" s="242"/>
    </row>
    <row r="1075" spans="1:9" ht="24.6" hidden="1" customHeight="1" outlineLevel="1" x14ac:dyDescent="0.3">
      <c r="B1075" s="34"/>
      <c r="C1075" s="72" t="str">
        <f>_xlfn.CONCAT(_xlfn.XLOOKUP("[S05_CategoryCHighestTierNotApplied][39][InstallationID]",Submission!$O:$O,Submission!$H:$N,""))</f>
        <v>1012</v>
      </c>
      <c r="D1075" s="72" t="str">
        <f>_xlfn.CONCAT(_xlfn.XLOOKUP("[S05_CategoryCHighestTierNotApplied][39][SourceStreamAffected]",Submission!$O:$O,Submission!$H:$N,""))</f>
        <v/>
      </c>
      <c r="E1075" s="72" t="str">
        <f>_xlfn.CONCAT(_xlfn.XLOOKUP("[S05_CategoryCHighestTierNotApplied][39][EmissionSourceAffected]",Submission!$O:$O,Submission!$H:$N,""))</f>
        <v>CO2 KEMS Kalzinierung. Die CO2 Messung erfasst die Emissionen der Kalzinierung und des nachgeschalteten Abhitzekessels (Kombi- und Solobetrieb). Dabei werden auch die CO2 Emissionen aus dem Heizgas mit gemessen. Das Heizgas wird bereits über die Messblenden F5821 und F5831 erfasst. Um eine Doppelzählung zu vermeiden, wird von der KEMS die Menge des Stroms 20c abgezogen.</v>
      </c>
      <c r="F1075" s="72" t="str">
        <f>_xlfn.CONCAT(_xlfn.XLOOKUP("[S05_CategoryCHighestTierNotApplied][39][MonitoringParameterAffected]",Submission!$O:$O,Submission!$H:$N,""))</f>
        <v>Annual average hourly emissions in kg/h from the source</v>
      </c>
      <c r="G1075" s="89" t="str">
        <f>_xlfn.CONCAT(_xlfn.XLOOKUP("[S05_CategoryCHighestTierNotApplied][39][HighestTierRequired]",Submission!$O:$O,Submission!$H:$N,""))</f>
        <v>Tier 4</v>
      </c>
      <c r="H1075" s="240" t="str">
        <f>_xlfn.CONCAT(_xlfn.XLOOKUP("[S05_CategoryCHighestTierNotApplied][39][TierInPractice]",Submission!$O:$O,Submission!$H:$N,""))</f>
        <v>Tier 1</v>
      </c>
      <c r="I1075" s="242"/>
    </row>
    <row r="1076" spans="1:9" ht="24.6" hidden="1" customHeight="1" outlineLevel="1" x14ac:dyDescent="0.3">
      <c r="B1076" s="34"/>
      <c r="C1076" s="72" t="str">
        <f>_xlfn.CONCAT(_xlfn.XLOOKUP("[S05_CategoryCHighestTierNotApplied][40][InstallationID]",Submission!$O:$O,Submission!$H:$N,""))</f>
        <v>1013</v>
      </c>
      <c r="D1076" s="72" t="str">
        <f>_xlfn.CONCAT(_xlfn.XLOOKUP("[S05_CategoryCHighestTierNotApplied][40][SourceStreamAffected]",Submission!$O:$O,Submission!$H:$N,""))</f>
        <v/>
      </c>
      <c r="E1076" s="72" t="str">
        <f>_xlfn.CONCAT(_xlfn.XLOOKUP("[S05_CategoryCHighestTierNotApplied][40][EmissionSourceAffected]",Submission!$O:$O,Submission!$H:$N,""))</f>
        <v>CO2 aus FCC-Regeneration als FCC-Koks</v>
      </c>
      <c r="F1076" s="72" t="str">
        <f>_xlfn.CONCAT(_xlfn.XLOOKUP("[S05_CategoryCHighestTierNotApplied][40][MonitoringParameterAffected]",Submission!$O:$O,Submission!$H:$N,""))</f>
        <v>Annual average hourly emissions in kg/h from the source</v>
      </c>
      <c r="G1076" s="89" t="str">
        <f>_xlfn.CONCAT(_xlfn.XLOOKUP("[S05_CategoryCHighestTierNotApplied][40][HighestTierRequired]",Submission!$O:$O,Submission!$H:$N,""))</f>
        <v>Tier 4</v>
      </c>
      <c r="H1076" s="240" t="str">
        <f>_xlfn.CONCAT(_xlfn.XLOOKUP("[S05_CategoryCHighestTierNotApplied][40][TierInPractice]",Submission!$O:$O,Submission!$H:$N,""))</f>
        <v>Tier 3</v>
      </c>
      <c r="I1076" s="242"/>
    </row>
    <row r="1077" spans="1:9" ht="24.6" hidden="1" customHeight="1" outlineLevel="1" x14ac:dyDescent="0.3">
      <c r="B1077" s="34"/>
      <c r="C1077" s="72" t="str">
        <f>_xlfn.CONCAT(_xlfn.XLOOKUP("[S05_CategoryCHighestTierNotApplied][41][InstallationID]",Submission!$O:$O,Submission!$H:$N,""))</f>
        <v>1014</v>
      </c>
      <c r="D1077" s="72" t="str">
        <f>_xlfn.CONCAT(_xlfn.XLOOKUP("[S05_CategoryCHighestTierNotApplied][41][SourceStreamAffected]",Submission!$O:$O,Submission!$H:$N,""))</f>
        <v/>
      </c>
      <c r="E1077" s="72" t="str">
        <f>_xlfn.CONCAT(_xlfn.XLOOKUP("[S05_CategoryCHighestTierNotApplied][41][EmissionSourceAffected]",Submission!$O:$O,Submission!$H:$N,""))</f>
        <v>Koks aus Katalysatorabbrand in der FCC-Anlage 651</v>
      </c>
      <c r="F1077" s="72" t="str">
        <f>_xlfn.CONCAT(_xlfn.XLOOKUP("[S05_CategoryCHighestTierNotApplied][41][MonitoringParameterAffected]",Submission!$O:$O,Submission!$H:$N,""))</f>
        <v>Annual average hourly emissions in kg/h from the source</v>
      </c>
      <c r="G1077" s="89" t="str">
        <f>_xlfn.CONCAT(_xlfn.XLOOKUP("[S05_CategoryCHighestTierNotApplied][41][HighestTierRequired]",Submission!$O:$O,Submission!$H:$N,""))</f>
        <v>Tier 4</v>
      </c>
      <c r="H1077" s="240" t="str">
        <f>_xlfn.CONCAT(_xlfn.XLOOKUP("[S05_CategoryCHighestTierNotApplied][41][TierInPractice]",Submission!$O:$O,Submission!$H:$N,""))</f>
        <v>Tier 3</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20 - Combustion of fuels as specified in Annex I of Directive 2003/87/EC</v>
      </c>
      <c r="F1098" s="349"/>
      <c r="G1098" s="282"/>
      <c r="H1098" s="341" t="str">
        <f>_xlfn.CONCAT(_xlfn.XLOOKUP("[S05_CategoryBHighestTierNotApplied][1][CategoryBInstallationsAffected]",Submission!$O:$O,Submission!$H:$N,""))</f>
        <v>9</v>
      </c>
      <c r="I1098" s="342"/>
    </row>
    <row r="1099" spans="1:9" ht="25.95" customHeight="1" x14ac:dyDescent="0.3">
      <c r="B1099" s="34"/>
      <c r="C1099" s="284" t="str">
        <f>_xlfn.CONCAT(_xlfn.XLOOKUP("[S05_CategoryBHighestTierNotApplied][2][MonitoringMethodology]",Submission!$O:$O,Submission!$H:$N,""))</f>
        <v>Calculation based methodology</v>
      </c>
      <c r="D1099" s="285"/>
      <c r="E1099" s="281" t="str">
        <f>_xlfn.CONCAT(_xlfn.XLOOKUP("[S05_CategoryBHighestTierNotApplied][2][CategoryBMainActivity]",Submission!$O:$O,Submission!$H:$N,""))</f>
        <v>21 - Refining of mineral oil</v>
      </c>
      <c r="F1099" s="349"/>
      <c r="G1099" s="282"/>
      <c r="H1099" s="341" t="str">
        <f>_xlfn.CONCAT(_xlfn.XLOOKUP("[S05_CategoryBHighestTierNotApplied][2][CategoryBInstallationsAffected]",Submission!$O:$O,Submission!$H:$N,""))</f>
        <v>1</v>
      </c>
      <c r="I1099" s="342"/>
    </row>
    <row r="1100" spans="1:9" ht="25.95" customHeight="1" x14ac:dyDescent="0.3">
      <c r="B1100" s="34"/>
      <c r="C1100" s="284" t="str">
        <f>_xlfn.CONCAT(_xlfn.XLOOKUP("[S05_CategoryBHighestTierNotApplied][3][MonitoringMethodology]",Submission!$O:$O,Submission!$H:$N,""))</f>
        <v>Calculation based methodology</v>
      </c>
      <c r="D1100" s="285"/>
      <c r="E1100" s="281" t="str">
        <f>_xlfn.CONCAT(_xlfn.XLOOKUP("[S05_CategoryBHighestTierNotApplied][3][CategoryBMainActivity]",Submission!$O:$O,Submission!$H:$N,""))</f>
        <v>24 - Production of pig iron or steel as specified in Annex I of Directive 2003/87/EC</v>
      </c>
      <c r="F1100" s="349"/>
      <c r="G1100" s="282"/>
      <c r="H1100" s="341" t="str">
        <f>_xlfn.CONCAT(_xlfn.XLOOKUP("[S05_CategoryBHighestTierNotApplied][3][CategoryBInstallationsAffected]",Submission!$O:$O,Submission!$H:$N,""))</f>
        <v>4</v>
      </c>
      <c r="I1100" s="342"/>
    </row>
    <row r="1101" spans="1:9" ht="25.95" customHeight="1" x14ac:dyDescent="0.3">
      <c r="B1101" s="34"/>
      <c r="C1101" s="284" t="str">
        <f>_xlfn.CONCAT(_xlfn.XLOOKUP("[S05_CategoryBHighestTierNotApplied][4][MonitoringMethodology]",Submission!$O:$O,Submission!$H:$N,""))</f>
        <v>Calculation based methodology</v>
      </c>
      <c r="D1101" s="285"/>
      <c r="E1101" s="281" t="str">
        <f>_xlfn.CONCAT(_xlfn.XLOOKUP("[S05_CategoryBHighestTierNotApplied][4][CategoryBMainActivity]",Submission!$O:$O,Submission!$H:$N,""))</f>
        <v>25 - Production or processing of ferrous metals as specified in Annex I of Directive 2003/87/EC</v>
      </c>
      <c r="F1101" s="349"/>
      <c r="G1101" s="282"/>
      <c r="H1101" s="341" t="str">
        <f>_xlfn.CONCAT(_xlfn.XLOOKUP("[S05_CategoryBHighestTierNotApplied][4][CategoryBInstallationsAffected]",Submission!$O:$O,Submission!$H:$N,""))</f>
        <v>4</v>
      </c>
      <c r="I1101" s="342"/>
    </row>
    <row r="1102" spans="1:9" ht="25.95" customHeight="1" x14ac:dyDescent="0.3">
      <c r="B1102" s="34"/>
      <c r="C1102" s="284" t="str">
        <f>_xlfn.CONCAT(_xlfn.XLOOKUP("[S05_CategoryBHighestTierNotApplied][5][MonitoringMethodology]",Submission!$O:$O,Submission!$H:$N,""))</f>
        <v>Calculation based methodology</v>
      </c>
      <c r="D1102" s="285"/>
      <c r="E1102" s="281" t="str">
        <f>_xlfn.CONCAT(_xlfn.XLOOKUP("[S05_CategoryBHighestTierNotApplied][5][CategoryBMainActivity]",Submission!$O:$O,Submission!$H:$N,""))</f>
        <v>28 - Production or processing of non-ferrous metals as specified in Annex I of Directive 2003/87/EC</v>
      </c>
      <c r="F1102" s="349"/>
      <c r="G1102" s="282"/>
      <c r="H1102" s="341" t="str">
        <f>_xlfn.CONCAT(_xlfn.XLOOKUP("[S05_CategoryBHighestTierNotApplied][5][CategoryBInstallationsAffected]",Submission!$O:$O,Submission!$H:$N,""))</f>
        <v>2</v>
      </c>
      <c r="I1102" s="342"/>
    </row>
    <row r="1103" spans="1:9" ht="25.95" customHeight="1" x14ac:dyDescent="0.3">
      <c r="B1103" s="34"/>
      <c r="C1103" s="284" t="str">
        <f>_xlfn.CONCAT(_xlfn.XLOOKUP("[S05_CategoryBHighestTierNotApplied][6][MonitoringMethodology]",Submission!$O:$O,Submission!$H:$N,""))</f>
        <v>Calculation based methodology</v>
      </c>
      <c r="D1103" s="285"/>
      <c r="E1103" s="281" t="str">
        <f>_xlfn.CONCAT(_xlfn.XLOOKUP("[S05_CategoryBHighestTierNotApplied][6][CategoryBMainActivity]",Submission!$O:$O,Submission!$H:$N,""))</f>
        <v>29 - Production of cement clinker in rotary kilns as specified in Annex I of Directive 2003/87/ EC</v>
      </c>
      <c r="F1103" s="349"/>
      <c r="G1103" s="282"/>
      <c r="H1103" s="341" t="str">
        <f>_xlfn.CONCAT(_xlfn.XLOOKUP("[S05_CategoryBHighestTierNotApplied][6][CategoryBInstallationsAffected]",Submission!$O:$O,Submission!$H:$N,""))</f>
        <v>3</v>
      </c>
      <c r="I1103" s="342"/>
    </row>
    <row r="1104" spans="1:9" ht="25.95" customHeight="1" x14ac:dyDescent="0.3">
      <c r="B1104" s="34"/>
      <c r="C1104" s="284" t="str">
        <f>_xlfn.CONCAT(_xlfn.XLOOKUP("[S05_CategoryBHighestTierNotApplied][7][MonitoringMethodology]",Submission!$O:$O,Submission!$H:$N,""))</f>
        <v>Calculation based methodology</v>
      </c>
      <c r="D1104" s="285"/>
      <c r="E1104" s="281" t="str">
        <f>_xlfn.CONCAT(_xlfn.XLOOKUP("[S05_CategoryBHighestTierNotApplied][7][CategoryBMainActivity]",Submission!$O:$O,Submission!$H:$N,""))</f>
        <v>30 - Production of lime or calcination of dolomite or magnesite as specified in Annex I of Directive 2003/87/ EC</v>
      </c>
      <c r="F1104" s="349"/>
      <c r="G1104" s="282"/>
      <c r="H1104" s="341" t="str">
        <f>_xlfn.CONCAT(_xlfn.XLOOKUP("[S05_CategoryBHighestTierNotApplied][7][CategoryBInstallationsAffected]",Submission!$O:$O,Submission!$H:$N,""))</f>
        <v>1</v>
      </c>
      <c r="I1104" s="342"/>
    </row>
    <row r="1105" spans="1:9" ht="25.95" hidden="1" customHeight="1" outlineLevel="1" x14ac:dyDescent="0.3">
      <c r="B1105" s="34"/>
      <c r="C1105" s="284" t="str">
        <f>_xlfn.CONCAT(_xlfn.XLOOKUP("[S05_CategoryBHighestTierNotApplied][8][MonitoringMethodology]",Submission!$O:$O,Submission!$H:$N,""))</f>
        <v>Calculation based methodology</v>
      </c>
      <c r="D1105" s="285"/>
      <c r="E1105" s="281" t="str">
        <f>_xlfn.CONCAT(_xlfn.XLOOKUP("[S05_CategoryBHighestTierNotApplied][8][CategoryBMainActivity]",Submission!$O:$O,Submission!$H:$N,""))</f>
        <v>31 - Manufacture of glass as specified in Annex I of Directive 2003/87/EC</v>
      </c>
      <c r="F1105" s="349"/>
      <c r="G1105" s="282"/>
      <c r="H1105" s="341" t="str">
        <f>_xlfn.CONCAT(_xlfn.XLOOKUP("[S05_CategoryBHighestTierNotApplied][8][CategoryBInstallationsAffected]",Submission!$O:$O,Submission!$H:$N,""))</f>
        <v>3</v>
      </c>
      <c r="I1105" s="342"/>
    </row>
    <row r="1106" spans="1:9" ht="25.95" hidden="1" customHeight="1" outlineLevel="1" x14ac:dyDescent="0.3">
      <c r="B1106" s="34"/>
      <c r="C1106" s="284" t="str">
        <f>_xlfn.CONCAT(_xlfn.XLOOKUP("[S05_CategoryBHighestTierNotApplied][9][MonitoringMethodology]",Submission!$O:$O,Submission!$H:$N,""))</f>
        <v>Calculation based methodology</v>
      </c>
      <c r="D1106" s="285"/>
      <c r="E1106" s="281" t="str">
        <f>_xlfn.CONCAT(_xlfn.XLOOKUP("[S05_CategoryBHighestTierNotApplied][9][CategoryBMainActivity]",Submission!$O:$O,Submission!$H:$N,""))</f>
        <v xml:space="preserve">36 - Production of paper or cardboard as specified in Annex I of Directive 2003/87/EC </v>
      </c>
      <c r="F1106" s="349"/>
      <c r="G1106" s="282"/>
      <c r="H1106" s="341" t="str">
        <f>_xlfn.CONCAT(_xlfn.XLOOKUP("[S05_CategoryBHighestTierNotApplied][9][CategoryBInstallationsAffected]",Submission!$O:$O,Submission!$H:$N,""))</f>
        <v>2</v>
      </c>
      <c r="I1106" s="342"/>
    </row>
    <row r="1107" spans="1:9" ht="25.95" hidden="1" customHeight="1" outlineLevel="1" x14ac:dyDescent="0.3">
      <c r="B1107" s="34"/>
      <c r="C1107" s="284" t="str">
        <f>_xlfn.CONCAT(_xlfn.XLOOKUP("[S05_CategoryBHighestTierNotApplied][10][MonitoringMethodology]",Submission!$O:$O,Submission!$H:$N,""))</f>
        <v>Calculation based methodology</v>
      </c>
      <c r="D1107" s="285"/>
      <c r="E1107" s="281" t="str">
        <f>_xlfn.CONCAT(_xlfn.XLOOKUP("[S05_CategoryBHighestTierNotApplied][10][CategoryBMainActivity]",Submission!$O:$O,Submission!$H:$N,""))</f>
        <v xml:space="preserve">42 - Production of bulk organic chemicals as specified in Annex I of Directive 2003/87/EC </v>
      </c>
      <c r="F1107" s="349"/>
      <c r="G1107" s="282"/>
      <c r="H1107" s="341" t="str">
        <f>_xlfn.CONCAT(_xlfn.XLOOKUP("[S05_CategoryBHighestTierNotApplied][10][CategoryBInstallationsAffected]",Submission!$O:$O,Submission!$H:$N,""))</f>
        <v>7</v>
      </c>
      <c r="I1107" s="342"/>
    </row>
    <row r="1108" spans="1:9" ht="25.95" hidden="1" customHeight="1" outlineLevel="1" x14ac:dyDescent="0.3">
      <c r="B1108" s="34"/>
      <c r="C1108" s="284" t="str">
        <f>_xlfn.CONCAT(_xlfn.XLOOKUP("[S05_CategoryBHighestTierNotApplied][11][MonitoringMethodology]",Submission!$O:$O,Submission!$H:$N,""))</f>
        <v>Calculation based methodology</v>
      </c>
      <c r="D1108" s="285"/>
      <c r="E1108" s="281" t="str">
        <f>_xlfn.CONCAT(_xlfn.XLOOKUP("[S05_CategoryBHighestTierNotApplied][11][CategoryBMainActivity]",Submission!$O:$O,Submission!$H:$N,""))</f>
        <v xml:space="preserve">43 - Production of hydrogen (H2) and synthesis gas as specified in Annex I of Directive 2003/87/EC </v>
      </c>
      <c r="F1108" s="349"/>
      <c r="G1108" s="282"/>
      <c r="H1108" s="341" t="str">
        <f>_xlfn.CONCAT(_xlfn.XLOOKUP("[S05_CategoryBHighestTierNotApplied][11][CategoryBInstallationsAffected]",Submission!$O:$O,Submission!$H:$N,""))</f>
        <v>1</v>
      </c>
      <c r="I1108" s="342"/>
    </row>
    <row r="1109" spans="1:9" ht="25.95" hidden="1" customHeight="1" outlineLevel="1" x14ac:dyDescent="0.3">
      <c r="B1109" s="34"/>
      <c r="C1109" s="284" t="str">
        <f>_xlfn.CONCAT(_xlfn.XLOOKUP("[S05_CategoryBHighestTierNotApplied][12][MonitoringMethodology]",Submission!$O:$O,Submission!$H:$N,""))</f>
        <v>Measurement based methodology</v>
      </c>
      <c r="D1109" s="285"/>
      <c r="E1109" s="281" t="str">
        <f>_xlfn.CONCAT(_xlfn.XLOOKUP("[S05_CategoryBHighestTierNotApplied][12][CategoryBMainActivity]",Submission!$O:$O,Submission!$H:$N,""))</f>
        <v>20 - Combustion of fuels as specified in Annex I of Directive 2003/87/EC</v>
      </c>
      <c r="F1109" s="349"/>
      <c r="G1109" s="282"/>
      <c r="H1109" s="341" t="str">
        <f>_xlfn.CONCAT(_xlfn.XLOOKUP("[S05_CategoryBHighestTierNotApplied][12][CategoryBInstallationsAffected]",Submission!$O:$O,Submission!$H:$N,""))</f>
        <v>4</v>
      </c>
      <c r="I1109" s="342"/>
    </row>
    <row r="1110" spans="1:9" ht="25.95" hidden="1" customHeight="1" outlineLevel="1" x14ac:dyDescent="0.3">
      <c r="B1110" s="34"/>
      <c r="C1110" s="284" t="str">
        <f>_xlfn.CONCAT(_xlfn.XLOOKUP("[S05_CategoryBHighestTierNotApplied][13][MonitoringMethodology]",Submission!$O:$O,Submission!$H:$N,""))</f>
        <v>Measurement based methodology</v>
      </c>
      <c r="D1110" s="285"/>
      <c r="E1110" s="281" t="str">
        <f>_xlfn.CONCAT(_xlfn.XLOOKUP("[S05_CategoryBHighestTierNotApplied][13][CategoryBMainActivity]",Submission!$O:$O,Submission!$H:$N,""))</f>
        <v xml:space="preserve">38 - Production of nitric acid </v>
      </c>
      <c r="F1110" s="349"/>
      <c r="G1110" s="282"/>
      <c r="H1110" s="341" t="str">
        <f>_xlfn.CONCAT(_xlfn.XLOOKUP("[S05_CategoryBHighestTierNotApplied][13][CategoryBInstallationsAffected]",Submission!$O:$O,Submission!$H:$N,""))</f>
        <v>1</v>
      </c>
      <c r="I1110" s="342"/>
    </row>
    <row r="1111" spans="1:9" ht="25.95" hidden="1" customHeight="1" outlineLevel="1" x14ac:dyDescent="0.3">
      <c r="B1111" s="34"/>
      <c r="C1111" s="284" t="str">
        <f>_xlfn.CONCAT(_xlfn.XLOOKUP("[S05_CategoryBHighestTierNotApplied][14][MonitoringMethodology]",Submission!$O:$O,Submission!$H:$N,""))</f>
        <v>Measurement based methodology</v>
      </c>
      <c r="D1111" s="285"/>
      <c r="E1111" s="281" t="str">
        <f>_xlfn.CONCAT(_xlfn.XLOOKUP("[S05_CategoryBHighestTierNotApplied][14][CategoryBMainActivity]",Submission!$O:$O,Submission!$H:$N,""))</f>
        <v xml:space="preserve">42 - Production of bulk organic chemicals as specified in Annex I of Directive 2003/87/EC </v>
      </c>
      <c r="F1111" s="349"/>
      <c r="G1111" s="282"/>
      <c r="H1111" s="341" t="str">
        <f>_xlfn.CONCAT(_xlfn.XLOOKUP("[S05_CategoryBHighestTierNotApplied][14][CategoryBInstallationsAffected]",Submission!$O:$O,Submission!$H:$N,""))</f>
        <v>2</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Yes</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1010</v>
      </c>
      <c r="D1127" s="284" t="str">
        <f>_xlfn.CONCAT(_xlfn.XLOOKUP("[S05_FallBackApproachAppliedDetail][1][FallBackReason]",Submission!$O:$O,Submission!$H:$N,""))</f>
        <v>Applying tier 1 is technically infeasible or leads to unreasonable costs for one minor source stream</v>
      </c>
      <c r="E1127" s="348"/>
      <c r="F1127" s="348"/>
      <c r="G1127" s="285"/>
      <c r="H1127" s="72" t="str">
        <f>_xlfn.CONCAT(_xlfn.XLOOKUP("[S05_FallBackApproachAppliedDetail][1][ParameterNotTier1]",Submission!$O:$O,Submission!$H:$N,""))</f>
        <v>Quantity of fuel</v>
      </c>
      <c r="I1127" s="124" t="str">
        <f>_xlfn.CONCAT(_xlfn.XLOOKUP("[S05_FallBackApproachAppliedDetail][1][ParameterEmissions]",Submission!$O:$O,Submission!$H:$N,""))</f>
        <v>2500</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C</v>
      </c>
      <c r="D1144" s="281" t="str">
        <f>_xlfn.CONCAT(_xlfn.XLOOKUP("[S05_ImprovementReportArt69]["&amp;ROW(B1144)-ROW($B$1143)&amp;"][Annex1Activity]",Submission!$O:$O,Submission!$H:$N,""))</f>
        <v>21 - Refining of mineral oil</v>
      </c>
      <c r="E1144" s="347"/>
      <c r="F1144" s="284" t="str">
        <f>_xlfn.CONCAT(_xlfn.XLOOKUP("[S05_ImprovementReportArt69]["&amp;ROW(B1144)-ROW($B$1143)&amp;"][ImprovementReportType]",Submission!$O:$O,Submission!$H:$N,""))</f>
        <v>Improvement report in accordance with Article 69(1)</v>
      </c>
      <c r="G1144" s="282"/>
      <c r="H1144" s="124" t="str">
        <f>_xlfn.CONCAT(_xlfn.XLOOKUP("[S05_ImprovementReportArt69]["&amp;ROW(B1144)-ROW($B$1143)&amp;"][ImprovementReportRequired]",Submission!$O:$O,Submission!$H:$N,""))</f>
        <v>11</v>
      </c>
      <c r="I1144" s="124" t="str">
        <f>_xlfn.CONCAT(_xlfn.XLOOKUP("[S05_ImprovementReportArt69]["&amp;ROW(B1144)-ROW($B$1143)&amp;"][ImprovementReportSubmitted]",Submission!$O:$O,Submission!$H:$N,""))</f>
        <v>11</v>
      </c>
    </row>
    <row r="1145" spans="1:9" ht="27" customHeight="1" x14ac:dyDescent="0.3">
      <c r="A1145" s="12"/>
      <c r="C1145" s="47" t="str">
        <f>_xlfn.CONCAT(_xlfn.XLOOKUP("[S05_ImprovementReportArt69]["&amp;ROW(B1145)-ROW($B$1143)&amp;"][InstallationCategory]",Submission!$O:$O,Submission!$H:$N,""))</f>
        <v>Category C</v>
      </c>
      <c r="D1145" s="281" t="str">
        <f>_xlfn.CONCAT(_xlfn.XLOOKUP("[S05_ImprovementReportArt69]["&amp;ROW(B1145)-ROW($B$1143)&amp;"][Annex1Activity]",Submission!$O:$O,Submission!$H:$N,""))</f>
        <v>24 - Production of pig iron or steel as specified in Annex I of Directive 2003/87/EC</v>
      </c>
      <c r="E1145" s="347"/>
      <c r="F1145" s="284" t="str">
        <f>_xlfn.CONCAT(_xlfn.XLOOKUP("[S05_ImprovementReportArt69]["&amp;ROW(B1145)-ROW($B$1143)&amp;"][ImprovementReportType]",Submission!$O:$O,Submission!$H:$N,""))</f>
        <v>Improvement report in accordance with Article 69(1)</v>
      </c>
      <c r="G1145" s="282"/>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C</v>
      </c>
      <c r="D1146" s="281" t="str">
        <f>_xlfn.CONCAT(_xlfn.XLOOKUP("[S05_ImprovementReportArt69]["&amp;ROW(B1146)-ROW($B$1143)&amp;"][Annex1Activity]",Submission!$O:$O,Submission!$H:$N,""))</f>
        <v xml:space="preserve">22 - Production of coke </v>
      </c>
      <c r="E1146" s="347"/>
      <c r="F1146" s="284" t="str">
        <f>_xlfn.CONCAT(_xlfn.XLOOKUP("[S05_ImprovementReportArt69]["&amp;ROW(B1146)-ROW($B$1143)&amp;"][ImprovementReportType]",Submission!$O:$O,Submission!$H:$N,""))</f>
        <v>Improvement report in accordance with Article 69(1)</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C</v>
      </c>
      <c r="D1147" s="281" t="str">
        <f>_xlfn.CONCAT(_xlfn.XLOOKUP("[S05_ImprovementReportArt69]["&amp;ROW(B1147)-ROW($B$1143)&amp;"][Annex1Activity]",Submission!$O:$O,Submission!$H:$N,""))</f>
        <v>20 - Combustion of fuels as specified in Annex I of Directive 2003/87/EC</v>
      </c>
      <c r="E1147" s="347"/>
      <c r="F1147" s="284" t="str">
        <f>_xlfn.CONCAT(_xlfn.XLOOKUP("[S05_ImprovementReportArt69]["&amp;ROW(B1147)-ROW($B$1143)&amp;"][ImprovementReportType]",Submission!$O:$O,Submission!$H:$N,""))</f>
        <v>Improvement report in accordance with Article 69(1)</v>
      </c>
      <c r="G1147" s="282"/>
      <c r="H1147" s="124" t="str">
        <f>_xlfn.CONCAT(_xlfn.XLOOKUP("[S05_ImprovementReportArt69]["&amp;ROW(B1147)-ROW($B$1143)&amp;"][ImprovementReportRequired]",Submission!$O:$O,Submission!$H:$N,""))</f>
        <v>2</v>
      </c>
      <c r="I1147" s="124" t="str">
        <f>_xlfn.CONCAT(_xlfn.XLOOKUP("[S05_ImprovementReportArt69]["&amp;ROW(B1147)-ROW($B$1143)&amp;"][ImprovementReportSubmitted]",Submission!$O:$O,Submission!$H:$N,""))</f>
        <v>2</v>
      </c>
    </row>
    <row r="1148" spans="1:9" ht="27" customHeight="1" x14ac:dyDescent="0.3">
      <c r="A1148" s="12"/>
      <c r="C1148" s="47" t="str">
        <f>_xlfn.CONCAT(_xlfn.XLOOKUP("[S05_ImprovementReportArt69]["&amp;ROW(B1148)-ROW($B$1143)&amp;"][InstallationCategory]",Submission!$O:$O,Submission!$H:$N,""))</f>
        <v>Category C</v>
      </c>
      <c r="D1148" s="281" t="str">
        <f>_xlfn.CONCAT(_xlfn.XLOOKUP("[S05_ImprovementReportArt69]["&amp;ROW(B1148)-ROW($B$1143)&amp;"][Annex1Activity]",Submission!$O:$O,Submission!$H:$N,""))</f>
        <v xml:space="preserve">41 - Production of ammonia </v>
      </c>
      <c r="E1148" s="347"/>
      <c r="F1148" s="284" t="str">
        <f>_xlfn.CONCAT(_xlfn.XLOOKUP("[S05_ImprovementReportArt69]["&amp;ROW(B1148)-ROW($B$1143)&amp;"][ImprovementReportType]",Submission!$O:$O,Submission!$H:$N,""))</f>
        <v>Improvement report in accordance with Article 69(1)</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C</v>
      </c>
      <c r="D1149" s="281" t="str">
        <f>_xlfn.CONCAT(_xlfn.XLOOKUP("[S05_ImprovementReportArt69]["&amp;ROW(B1149)-ROW($B$1143)&amp;"][Annex1Activity]",Submission!$O:$O,Submission!$H:$N,""))</f>
        <v xml:space="preserve">38 - Production of nitric acid </v>
      </c>
      <c r="E1149" s="347"/>
      <c r="F1149" s="284" t="str">
        <f>_xlfn.CONCAT(_xlfn.XLOOKUP("[S05_ImprovementReportArt69]["&amp;ROW(B1149)-ROW($B$1143)&amp;"][ImprovementReportType]",Submission!$O:$O,Submission!$H:$N,""))</f>
        <v>Improvement report in accordance with Article 69(1)</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B</v>
      </c>
      <c r="D1150" s="281" t="str">
        <f>_xlfn.CONCAT(_xlfn.XLOOKUP("[S05_ImprovementReportArt69]["&amp;ROW(B1150)-ROW($B$1143)&amp;"][Annex1Activity]",Submission!$O:$O,Submission!$H:$N,""))</f>
        <v>24 - Production of pig iron or steel as specified in Annex I of Directive 2003/87/EC</v>
      </c>
      <c r="E1150" s="347"/>
      <c r="F1150" s="284" t="str">
        <f>_xlfn.CONCAT(_xlfn.XLOOKUP("[S05_ImprovementReportArt69]["&amp;ROW(B1150)-ROW($B$1143)&amp;"][ImprovementReportType]",Submission!$O:$O,Submission!$H:$N,""))</f>
        <v>Improvement report in accordance with Article 69(1)</v>
      </c>
      <c r="G1150" s="282"/>
      <c r="H1150" s="124" t="str">
        <f>_xlfn.CONCAT(_xlfn.XLOOKUP("[S05_ImprovementReportArt69]["&amp;ROW(B1150)-ROW($B$1143)&amp;"][ImprovementReportRequired]",Submission!$O:$O,Submission!$H:$N,""))</f>
        <v>3</v>
      </c>
      <c r="I1150" s="124" t="str">
        <f>_xlfn.CONCAT(_xlfn.XLOOKUP("[S05_ImprovementReportArt69]["&amp;ROW(B1150)-ROW($B$1143)&amp;"][ImprovementReportSubmitted]",Submission!$O:$O,Submission!$H:$N,""))</f>
        <v>3</v>
      </c>
    </row>
    <row r="1151" spans="1:9" ht="27" customHeight="1" x14ac:dyDescent="0.3">
      <c r="A1151" s="12"/>
      <c r="C1151" s="47" t="str">
        <f>_xlfn.CONCAT(_xlfn.XLOOKUP("[S05_ImprovementReportArt69]["&amp;ROW(B1151)-ROW($B$1143)&amp;"][InstallationCategory]",Submission!$O:$O,Submission!$H:$N,""))</f>
        <v>Category B</v>
      </c>
      <c r="D1151" s="281" t="str">
        <f>_xlfn.CONCAT(_xlfn.XLOOKUP("[S05_ImprovementReportArt69]["&amp;ROW(B1151)-ROW($B$1143)&amp;"][Annex1Activity]",Submission!$O:$O,Submission!$H:$N,""))</f>
        <v>20 - Combustion of fuels as specified in Annex I of Directive 2003/87/EC</v>
      </c>
      <c r="E1151" s="347"/>
      <c r="F1151" s="284" t="str">
        <f>_xlfn.CONCAT(_xlfn.XLOOKUP("[S05_ImprovementReportArt69]["&amp;ROW(B1151)-ROW($B$1143)&amp;"][ImprovementReportType]",Submission!$O:$O,Submission!$H:$N,""))</f>
        <v>Improvement report in accordance with Article 69(1)</v>
      </c>
      <c r="G1151" s="282"/>
      <c r="H1151" s="124" t="str">
        <f>_xlfn.CONCAT(_xlfn.XLOOKUP("[S05_ImprovementReportArt69]["&amp;ROW(B1151)-ROW($B$1143)&amp;"][ImprovementReportRequired]",Submission!$O:$O,Submission!$H:$N,""))</f>
        <v>16</v>
      </c>
      <c r="I1151" s="124" t="str">
        <f>_xlfn.CONCAT(_xlfn.XLOOKUP("[S05_ImprovementReportArt69]["&amp;ROW(B1151)-ROW($B$1143)&amp;"][ImprovementReportSubmitted]",Submission!$O:$O,Submission!$H:$N,""))</f>
        <v>16</v>
      </c>
    </row>
    <row r="1152" spans="1:9" ht="27" customHeight="1" x14ac:dyDescent="0.3">
      <c r="A1152" s="12"/>
      <c r="C1152" s="47" t="str">
        <f>_xlfn.CONCAT(_xlfn.XLOOKUP("[S05_ImprovementReportArt69]["&amp;ROW(B1152)-ROW($B$1143)&amp;"][InstallationCategory]",Submission!$O:$O,Submission!$H:$N,""))</f>
        <v>Category B</v>
      </c>
      <c r="D1152" s="281" t="str">
        <f>_xlfn.CONCAT(_xlfn.XLOOKUP("[S05_ImprovementReportArt69]["&amp;ROW(B1152)-ROW($B$1143)&amp;"][Annex1Activity]",Submission!$O:$O,Submission!$H:$N,""))</f>
        <v xml:space="preserve">38 - Production of nitric acid </v>
      </c>
      <c r="E1152" s="347"/>
      <c r="F1152" s="284" t="str">
        <f>_xlfn.CONCAT(_xlfn.XLOOKUP("[S05_ImprovementReportArt69]["&amp;ROW(B1152)-ROW($B$1143)&amp;"][ImprovementReportType]",Submission!$O:$O,Submission!$H:$N,""))</f>
        <v>Improvement report in accordance with Article 69(1)</v>
      </c>
      <c r="G1152" s="282"/>
      <c r="H1152" s="124" t="str">
        <f>_xlfn.CONCAT(_xlfn.XLOOKUP("[S05_ImprovementReportArt69]["&amp;ROW(B1152)-ROW($B$1143)&amp;"][ImprovementReportRequired]",Submission!$O:$O,Submission!$H:$N,""))</f>
        <v>2</v>
      </c>
      <c r="I1152" s="124" t="str">
        <f>_xlfn.CONCAT(_xlfn.XLOOKUP("[S05_ImprovementReportArt69]["&amp;ROW(B1152)-ROW($B$1143)&amp;"][ImprovementReportSubmitted]",Submission!$O:$O,Submission!$H:$N,""))</f>
        <v>2</v>
      </c>
    </row>
    <row r="1153" spans="1:9" ht="27" customHeight="1" x14ac:dyDescent="0.3">
      <c r="A1153" s="12"/>
      <c r="C1153" s="47" t="str">
        <f>_xlfn.CONCAT(_xlfn.XLOOKUP("[S05_ImprovementReportArt69]["&amp;ROW(B1153)-ROW($B$1143)&amp;"][InstallationCategory]",Submission!$O:$O,Submission!$H:$N,""))</f>
        <v>Category B</v>
      </c>
      <c r="D1153" s="281" t="str">
        <f>_xlfn.CONCAT(_xlfn.XLOOKUP("[S05_ImprovementReportArt69]["&amp;ROW(B1153)-ROW($B$1143)&amp;"][Annex1Activity]",Submission!$O:$O,Submission!$H:$N,""))</f>
        <v>25 - Production or processing of ferrous metals as specified in Annex I of Directive 2003/87/EC</v>
      </c>
      <c r="E1153" s="347"/>
      <c r="F1153" s="284" t="str">
        <f>_xlfn.CONCAT(_xlfn.XLOOKUP("[S05_ImprovementReportArt69]["&amp;ROW(B1153)-ROW($B$1143)&amp;"][ImprovementReportType]",Submission!$O:$O,Submission!$H:$N,""))</f>
        <v>Improvement report in accordance with Article 69(1)</v>
      </c>
      <c r="G1153" s="282"/>
      <c r="H1153" s="124" t="str">
        <f>_xlfn.CONCAT(_xlfn.XLOOKUP("[S05_ImprovementReportArt69]["&amp;ROW(B1153)-ROW($B$1143)&amp;"][ImprovementReportRequired]",Submission!$O:$O,Submission!$H:$N,""))</f>
        <v>9</v>
      </c>
      <c r="I1153" s="124" t="str">
        <f>_xlfn.CONCAT(_xlfn.XLOOKUP("[S05_ImprovementReportArt69]["&amp;ROW(B1153)-ROW($B$1143)&amp;"][ImprovementReportSubmitted]",Submission!$O:$O,Submission!$H:$N,""))</f>
        <v>9</v>
      </c>
    </row>
    <row r="1154" spans="1:9" ht="27" customHeight="1" x14ac:dyDescent="0.3">
      <c r="A1154" s="12"/>
      <c r="C1154" s="47" t="str">
        <f>_xlfn.CONCAT(_xlfn.XLOOKUP("[S05_ImprovementReportArt69]["&amp;ROW(B1154)-ROW($B$1143)&amp;"][InstallationCategory]",Submission!$O:$O,Submission!$H:$N,""))</f>
        <v>Category B</v>
      </c>
      <c r="D1154" s="281" t="str">
        <f>_xlfn.CONCAT(_xlfn.XLOOKUP("[S05_ImprovementReportArt69]["&amp;ROW(B1154)-ROW($B$1143)&amp;"][Annex1Activity]",Submission!$O:$O,Submission!$H:$N,""))</f>
        <v>29 - Production of cement clinker in rotary kilns as specified in Annex I of Directive 2003/87/ EC</v>
      </c>
      <c r="E1154" s="347"/>
      <c r="F1154" s="284" t="str">
        <f>_xlfn.CONCAT(_xlfn.XLOOKUP("[S05_ImprovementReportArt69]["&amp;ROW(B1154)-ROW($B$1143)&amp;"][ImprovementReportType]",Submission!$O:$O,Submission!$H:$N,""))</f>
        <v>Improvement report in accordance with Article 69(1)</v>
      </c>
      <c r="G1154" s="282"/>
      <c r="H1154" s="124" t="str">
        <f>_xlfn.CONCAT(_xlfn.XLOOKUP("[S05_ImprovementReportArt69]["&amp;ROW(B1154)-ROW($B$1143)&amp;"][ImprovementReportRequired]",Submission!$O:$O,Submission!$H:$N,""))</f>
        <v>5</v>
      </c>
      <c r="I1154" s="124" t="str">
        <f>_xlfn.CONCAT(_xlfn.XLOOKUP("[S05_ImprovementReportArt69]["&amp;ROW(B1154)-ROW($B$1143)&amp;"][ImprovementReportSubmitted]",Submission!$O:$O,Submission!$H:$N,""))</f>
        <v>5</v>
      </c>
    </row>
    <row r="1155" spans="1:9" ht="27" customHeight="1" x14ac:dyDescent="0.3">
      <c r="A1155" s="12"/>
      <c r="C1155" s="47" t="str">
        <f>_xlfn.CONCAT(_xlfn.XLOOKUP("[S05_ImprovementReportArt69]["&amp;ROW(B1155)-ROW($B$1143)&amp;"][InstallationCategory]",Submission!$O:$O,Submission!$H:$N,""))</f>
        <v>Category B</v>
      </c>
      <c r="D1155" s="281" t="str">
        <f>_xlfn.CONCAT(_xlfn.XLOOKUP("[S05_ImprovementReportArt69]["&amp;ROW(B1155)-ROW($B$1143)&amp;"][Annex1Activity]",Submission!$O:$O,Submission!$H:$N,""))</f>
        <v>30 - Production of lime or calcination of dolomite or magnesite as specified in Annex I of Directive 2003/87/ EC</v>
      </c>
      <c r="E1155" s="347"/>
      <c r="F1155" s="284" t="str">
        <f>_xlfn.CONCAT(_xlfn.XLOOKUP("[S05_ImprovementReportArt69]["&amp;ROW(B1155)-ROW($B$1143)&amp;"][ImprovementReportType]",Submission!$O:$O,Submission!$H:$N,""))</f>
        <v>Improvement report in accordance with Article 69(1)</v>
      </c>
      <c r="G1155" s="282"/>
      <c r="H1155" s="124" t="str">
        <f>_xlfn.CONCAT(_xlfn.XLOOKUP("[S05_ImprovementReportArt69]["&amp;ROW(B1155)-ROW($B$1143)&amp;"][ImprovementReportRequired]",Submission!$O:$O,Submission!$H:$N,""))</f>
        <v>2</v>
      </c>
      <c r="I1155" s="124" t="str">
        <f>_xlfn.CONCAT(_xlfn.XLOOKUP("[S05_ImprovementReportArt69]["&amp;ROW(B1155)-ROW($B$1143)&amp;"][ImprovementReportSubmitted]",Submission!$O:$O,Submission!$H:$N,""))</f>
        <v>2</v>
      </c>
    </row>
    <row r="1156" spans="1:9" ht="27" customHeight="1" x14ac:dyDescent="0.3">
      <c r="A1156" s="12"/>
      <c r="C1156" s="47" t="str">
        <f>_xlfn.CONCAT(_xlfn.XLOOKUP("[S05_ImprovementReportArt69]["&amp;ROW(B1156)-ROW($B$1143)&amp;"][InstallationCategory]",Submission!$O:$O,Submission!$H:$N,""))</f>
        <v>Category B</v>
      </c>
      <c r="D1156" s="281" t="str">
        <f>_xlfn.CONCAT(_xlfn.XLOOKUP("[S05_ImprovementReportArt69]["&amp;ROW(B1156)-ROW($B$1143)&amp;"][Annex1Activity]",Submission!$O:$O,Submission!$H:$N,""))</f>
        <v>31 - Manufacture of glass as specified in Annex I of Directive 2003/87/EC</v>
      </c>
      <c r="E1156" s="347"/>
      <c r="F1156" s="284" t="str">
        <f>_xlfn.CONCAT(_xlfn.XLOOKUP("[S05_ImprovementReportArt69]["&amp;ROW(B1156)-ROW($B$1143)&amp;"][ImprovementReportType]",Submission!$O:$O,Submission!$H:$N,""))</f>
        <v>Improvement report in accordance with Article 69(1)</v>
      </c>
      <c r="G1156" s="282"/>
      <c r="H1156" s="124" t="str">
        <f>_xlfn.CONCAT(_xlfn.XLOOKUP("[S05_ImprovementReportArt69]["&amp;ROW(B1156)-ROW($B$1143)&amp;"][ImprovementReportRequired]",Submission!$O:$O,Submission!$H:$N,""))</f>
        <v>2</v>
      </c>
      <c r="I1156" s="124" t="str">
        <f>_xlfn.CONCAT(_xlfn.XLOOKUP("[S05_ImprovementReportArt69]["&amp;ROW(B1156)-ROW($B$1143)&amp;"][ImprovementReportSubmitted]",Submission!$O:$O,Submission!$H:$N,""))</f>
        <v>2</v>
      </c>
    </row>
    <row r="1157" spans="1:9" ht="27" customHeight="1" x14ac:dyDescent="0.3">
      <c r="A1157" s="12"/>
      <c r="C1157" s="47" t="str">
        <f>_xlfn.CONCAT(_xlfn.XLOOKUP("[S05_ImprovementReportArt69]["&amp;ROW(B1157)-ROW($B$1143)&amp;"][InstallationCategory]",Submission!$O:$O,Submission!$H:$N,""))</f>
        <v>Category B</v>
      </c>
      <c r="D1157" s="281" t="str">
        <f>_xlfn.CONCAT(_xlfn.XLOOKUP("[S05_ImprovementReportArt69]["&amp;ROW(B1157)-ROW($B$1143)&amp;"][Annex1Activity]",Submission!$O:$O,Submission!$H:$N,""))</f>
        <v xml:space="preserve">36 - Production of paper or cardboard as specified in Annex I of Directive 2003/87/EC </v>
      </c>
      <c r="E1157" s="347"/>
      <c r="F1157" s="284" t="str">
        <f>_xlfn.CONCAT(_xlfn.XLOOKUP("[S05_ImprovementReportArt69]["&amp;ROW(B1157)-ROW($B$1143)&amp;"][ImprovementReportType]",Submission!$O:$O,Submission!$H:$N,""))</f>
        <v>Improvement report in accordance with Article 69(1)</v>
      </c>
      <c r="G1157" s="282"/>
      <c r="H1157" s="124" t="str">
        <f>_xlfn.CONCAT(_xlfn.XLOOKUP("[S05_ImprovementReportArt69]["&amp;ROW(B1157)-ROW($B$1143)&amp;"][ImprovementReportRequired]",Submission!$O:$O,Submission!$H:$N,""))</f>
        <v>2</v>
      </c>
      <c r="I1157" s="124" t="str">
        <f>_xlfn.CONCAT(_xlfn.XLOOKUP("[S05_ImprovementReportArt69]["&amp;ROW(B1157)-ROW($B$1143)&amp;"][ImprovementReportSubmitted]",Submission!$O:$O,Submission!$H:$N,""))</f>
        <v>2</v>
      </c>
    </row>
    <row r="1158" spans="1:9" ht="27" customHeight="1" x14ac:dyDescent="0.3">
      <c r="A1158" s="12"/>
      <c r="C1158" s="47" t="str">
        <f>_xlfn.CONCAT(_xlfn.XLOOKUP("[S05_ImprovementReportArt69]["&amp;ROW(B1158)-ROW($B$1143)&amp;"][InstallationCategory]",Submission!$O:$O,Submission!$H:$N,""))</f>
        <v>Category B</v>
      </c>
      <c r="D1158" s="281" t="str">
        <f>_xlfn.CONCAT(_xlfn.XLOOKUP("[S05_ImprovementReportArt69]["&amp;ROW(B1158)-ROW($B$1143)&amp;"][Annex1Activity]",Submission!$O:$O,Submission!$H:$N,""))</f>
        <v xml:space="preserve">43 - Production of hydrogen (H2) and synthesis gas as specified in Annex I of Directive 2003/87/EC </v>
      </c>
      <c r="E1158" s="347"/>
      <c r="F1158" s="284" t="str">
        <f>_xlfn.CONCAT(_xlfn.XLOOKUP("[S05_ImprovementReportArt69]["&amp;ROW(B1158)-ROW($B$1143)&amp;"][ImprovementReportType]",Submission!$O:$O,Submission!$H:$N,""))</f>
        <v>Improvement report in accordance with Article 69(1)</v>
      </c>
      <c r="G1158" s="282"/>
      <c r="H1158" s="124" t="str">
        <f>_xlfn.CONCAT(_xlfn.XLOOKUP("[S05_ImprovementReportArt69]["&amp;ROW(B1158)-ROW($B$1143)&amp;"][ImprovementReportRequired]",Submission!$O:$O,Submission!$H:$N,""))</f>
        <v>2</v>
      </c>
      <c r="I1158" s="124" t="str">
        <f>_xlfn.CONCAT(_xlfn.XLOOKUP("[S05_ImprovementReportArt69]["&amp;ROW(B1158)-ROW($B$1143)&amp;"][ImprovementReportSubmitted]",Submission!$O:$O,Submission!$H:$N,""))</f>
        <v>2</v>
      </c>
    </row>
    <row r="1159" spans="1:9" ht="27" customHeight="1" x14ac:dyDescent="0.3">
      <c r="A1159" s="12"/>
      <c r="C1159" s="47" t="str">
        <f>_xlfn.CONCAT(_xlfn.XLOOKUP("[S05_ImprovementReportArt69]["&amp;ROW(B1159)-ROW($B$1143)&amp;"][InstallationCategory]",Submission!$O:$O,Submission!$H:$N,""))</f>
        <v>Category B</v>
      </c>
      <c r="D1159" s="281" t="str">
        <f>_xlfn.CONCAT(_xlfn.XLOOKUP("[S05_ImprovementReportArt69]["&amp;ROW(B1159)-ROW($B$1143)&amp;"][Annex1Activity]",Submission!$O:$O,Submission!$H:$N,""))</f>
        <v xml:space="preserve">42 - Production of bulk organic chemicals as specified in Annex I of Directive 2003/87/EC </v>
      </c>
      <c r="E1159" s="347"/>
      <c r="F1159" s="284" t="str">
        <f>_xlfn.CONCAT(_xlfn.XLOOKUP("[S05_ImprovementReportArt69]["&amp;ROW(B1159)-ROW($B$1143)&amp;"][ImprovementReportType]",Submission!$O:$O,Submission!$H:$N,""))</f>
        <v>Improvement report in accordance with Article 69(1)</v>
      </c>
      <c r="G1159" s="282"/>
      <c r="H1159" s="124" t="str">
        <f>_xlfn.CONCAT(_xlfn.XLOOKUP("[S05_ImprovementReportArt69]["&amp;ROW(B1159)-ROW($B$1143)&amp;"][ImprovementReportRequired]",Submission!$O:$O,Submission!$H:$N,""))</f>
        <v>10</v>
      </c>
      <c r="I1159" s="124" t="str">
        <f>_xlfn.CONCAT(_xlfn.XLOOKUP("[S05_ImprovementReportArt69]["&amp;ROW(B1159)-ROW($B$1143)&amp;"][ImprovementReportSubmitted]",Submission!$O:$O,Submission!$H:$N,""))</f>
        <v>10</v>
      </c>
    </row>
    <row r="1160" spans="1:9" ht="27" customHeight="1" x14ac:dyDescent="0.3">
      <c r="A1160" s="12"/>
      <c r="C1160" s="47" t="str">
        <f>_xlfn.CONCAT(_xlfn.XLOOKUP("[S05_ImprovementReportArt69]["&amp;ROW(B1160)-ROW($B$1143)&amp;"][InstallationCategory]",Submission!$O:$O,Submission!$H:$N,""))</f>
        <v>Category B</v>
      </c>
      <c r="D1160" s="281" t="str">
        <f>_xlfn.CONCAT(_xlfn.XLOOKUP("[S05_ImprovementReportArt69]["&amp;ROW(B1160)-ROW($B$1143)&amp;"][Annex1Activity]",Submission!$O:$O,Submission!$H:$N,""))</f>
        <v>28 - Production or processing of non-ferrous metals as specified in Annex I of Directive 2003/87/EC</v>
      </c>
      <c r="E1160" s="347"/>
      <c r="F1160" s="284" t="str">
        <f>_xlfn.CONCAT(_xlfn.XLOOKUP("[S05_ImprovementReportArt69]["&amp;ROW(B1160)-ROW($B$1143)&amp;"][ImprovementReportType]",Submission!$O:$O,Submission!$H:$N,""))</f>
        <v>Improvement report in accordance with Article 69(1)</v>
      </c>
      <c r="G1160" s="282"/>
      <c r="H1160" s="124" t="str">
        <f>_xlfn.CONCAT(_xlfn.XLOOKUP("[S05_ImprovementReportArt69]["&amp;ROW(B1160)-ROW($B$1143)&amp;"][ImprovementReportRequired]",Submission!$O:$O,Submission!$H:$N,""))</f>
        <v>1</v>
      </c>
      <c r="I1160" s="124" t="str">
        <f>_xlfn.CONCAT(_xlfn.XLOOKUP("[S05_ImprovementReportArt69]["&amp;ROW(B1160)-ROW($B$1143)&amp;"][ImprovementReportSubmitted]",Submission!$O:$O,Submission!$H:$N,""))</f>
        <v>1</v>
      </c>
    </row>
    <row r="1161" spans="1:9" ht="27" customHeight="1" x14ac:dyDescent="0.3">
      <c r="A1161" s="12"/>
      <c r="C1161" s="47" t="str">
        <f>_xlfn.CONCAT(_xlfn.XLOOKUP("[S05_ImprovementReportArt69]["&amp;ROW(B1161)-ROW($B$1143)&amp;"][InstallationCategory]",Submission!$O:$O,Submission!$H:$N,""))</f>
        <v>Category B</v>
      </c>
      <c r="D1161" s="281" t="str">
        <f>_xlfn.CONCAT(_xlfn.XLOOKUP("[S05_ImprovementReportArt69]["&amp;ROW(B1161)-ROW($B$1143)&amp;"][Annex1Activity]",Submission!$O:$O,Submission!$H:$N,""))</f>
        <v>44 - Production of soda ash (Na2CO3) and sodium bicarbonate (NaHCO3) as specified in Annex I of Directive 2003/87/EC</v>
      </c>
      <c r="E1161" s="347"/>
      <c r="F1161" s="284" t="str">
        <f>_xlfn.CONCAT(_xlfn.XLOOKUP("[S05_ImprovementReportArt69]["&amp;ROW(B1161)-ROW($B$1143)&amp;"][ImprovementReportType]",Submission!$O:$O,Submission!$H:$N,""))</f>
        <v>Improvement report in accordance with Article 69(1)</v>
      </c>
      <c r="G1161" s="282"/>
      <c r="H1161" s="124" t="str">
        <f>_xlfn.CONCAT(_xlfn.XLOOKUP("[S05_ImprovementReportArt69]["&amp;ROW(B1161)-ROW($B$1143)&amp;"][ImprovementReportRequired]",Submission!$O:$O,Submission!$H:$N,""))</f>
        <v>1</v>
      </c>
      <c r="I1161" s="124" t="str">
        <f>_xlfn.CONCAT(_xlfn.XLOOKUP("[S05_ImprovementReportArt69]["&amp;ROW(B1161)-ROW($B$1143)&amp;"][ImprovementReportSubmitted]",Submission!$O:$O,Submission!$H:$N,""))</f>
        <v>1</v>
      </c>
    </row>
    <row r="1162" spans="1:9" ht="27" hidden="1" customHeight="1" outlineLevel="1" x14ac:dyDescent="0.3">
      <c r="A1162" s="12"/>
      <c r="C1162" s="47" t="str">
        <f>_xlfn.CONCAT(_xlfn.XLOOKUP("[S05_ImprovementReportArt69]["&amp;ROW(B1162)-ROW($B$1143)&amp;"][InstallationCategory]",Submission!$O:$O,Submission!$H:$N,""))</f>
        <v>Category B</v>
      </c>
      <c r="D1162" s="281" t="str">
        <f>_xlfn.CONCAT(_xlfn.XLOOKUP("[S05_ImprovementReportArt69]["&amp;ROW(B1162)-ROW($B$1143)&amp;"][Annex1Activity]",Submission!$O:$O,Submission!$H:$N,""))</f>
        <v xml:space="preserve">39 - Production of adipic acid </v>
      </c>
      <c r="E1162" s="347"/>
      <c r="F1162" s="284" t="str">
        <f>_xlfn.CONCAT(_xlfn.XLOOKUP("[S05_ImprovementReportArt69]["&amp;ROW(B1162)-ROW($B$1143)&amp;"][ImprovementReportType]",Submission!$O:$O,Submission!$H:$N,""))</f>
        <v>Improvement report in accordance with Article 69(1)</v>
      </c>
      <c r="G1162" s="282"/>
      <c r="H1162" s="124" t="str">
        <f>_xlfn.CONCAT(_xlfn.XLOOKUP("[S05_ImprovementReportArt69]["&amp;ROW(B1162)-ROW($B$1143)&amp;"][ImprovementReportRequired]",Submission!$O:$O,Submission!$H:$N,""))</f>
        <v>1</v>
      </c>
      <c r="I1162" s="124" t="str">
        <f>_xlfn.CONCAT(_xlfn.XLOOKUP("[S05_ImprovementReportArt69]["&amp;ROW(B1162)-ROW($B$1143)&amp;"][ImprovementReportSubmitted]",Submission!$O:$O,Submission!$H:$N,""))</f>
        <v>1</v>
      </c>
    </row>
    <row r="1163" spans="1:9" ht="27" hidden="1" customHeight="1" outlineLevel="1" x14ac:dyDescent="0.3">
      <c r="A1163" s="12"/>
      <c r="C1163" s="47" t="str">
        <f>_xlfn.CONCAT(_xlfn.XLOOKUP("[S05_ImprovementReportArt69]["&amp;ROW(B1163)-ROW($B$1143)&amp;"][InstallationCategory]",Submission!$O:$O,Submission!$H:$N,""))</f>
        <v>Category A</v>
      </c>
      <c r="D1163" s="281" t="str">
        <f>_xlfn.CONCAT(_xlfn.XLOOKUP("[S05_ImprovementReportArt69]["&amp;ROW(B1163)-ROW($B$1143)&amp;"][Annex1Activity]",Submission!$O:$O,Submission!$H:$N,""))</f>
        <v>24 - Production of pig iron or steel as specified in Annex I of Directive 2003/87/EC</v>
      </c>
      <c r="E1163" s="347"/>
      <c r="F1163" s="284" t="str">
        <f>_xlfn.CONCAT(_xlfn.XLOOKUP("[S05_ImprovementReportArt69]["&amp;ROW(B1163)-ROW($B$1143)&amp;"][ImprovementReportType]",Submission!$O:$O,Submission!$H:$N,""))</f>
        <v>Improvement report in accordance with Article 69(1)</v>
      </c>
      <c r="G1163" s="282"/>
      <c r="H1163" s="124" t="str">
        <f>_xlfn.CONCAT(_xlfn.XLOOKUP("[S05_ImprovementReportArt69]["&amp;ROW(B1163)-ROW($B$1143)&amp;"][ImprovementReportRequired]",Submission!$O:$O,Submission!$H:$N,""))</f>
        <v>4</v>
      </c>
      <c r="I1163" s="124" t="str">
        <f>_xlfn.CONCAT(_xlfn.XLOOKUP("[S05_ImprovementReportArt69]["&amp;ROW(B1163)-ROW($B$1143)&amp;"][ImprovementReportSubmitted]",Submission!$O:$O,Submission!$H:$N,""))</f>
        <v>4</v>
      </c>
    </row>
    <row r="1164" spans="1:9" ht="27" hidden="1" customHeight="1" outlineLevel="1" x14ac:dyDescent="0.3">
      <c r="A1164" s="12"/>
      <c r="C1164" s="47" t="str">
        <f>_xlfn.CONCAT(_xlfn.XLOOKUP("[S05_ImprovementReportArt69]["&amp;ROW(B1164)-ROW($B$1143)&amp;"][InstallationCategory]",Submission!$O:$O,Submission!$H:$N,""))</f>
        <v>Category A</v>
      </c>
      <c r="D1164" s="281" t="str">
        <f>_xlfn.CONCAT(_xlfn.XLOOKUP("[S05_ImprovementReportArt69]["&amp;ROW(B1164)-ROW($B$1143)&amp;"][Annex1Activity]",Submission!$O:$O,Submission!$H:$N,""))</f>
        <v>20 - Combustion of fuels as specified in Annex I of Directive 2003/87/EC</v>
      </c>
      <c r="E1164" s="347"/>
      <c r="F1164" s="284" t="str">
        <f>_xlfn.CONCAT(_xlfn.XLOOKUP("[S05_ImprovementReportArt69]["&amp;ROW(B1164)-ROW($B$1143)&amp;"][ImprovementReportType]",Submission!$O:$O,Submission!$H:$N,""))</f>
        <v>Improvement report in accordance with Article 69(1)</v>
      </c>
      <c r="G1164" s="282"/>
      <c r="H1164" s="124" t="str">
        <f>_xlfn.CONCAT(_xlfn.XLOOKUP("[S05_ImprovementReportArt69]["&amp;ROW(B1164)-ROW($B$1143)&amp;"][ImprovementReportRequired]",Submission!$O:$O,Submission!$H:$N,""))</f>
        <v>6</v>
      </c>
      <c r="I1164" s="124" t="str">
        <f>_xlfn.CONCAT(_xlfn.XLOOKUP("[S05_ImprovementReportArt69]["&amp;ROW(B1164)-ROW($B$1143)&amp;"][ImprovementReportSubmitted]",Submission!$O:$O,Submission!$H:$N,""))</f>
        <v>6</v>
      </c>
    </row>
    <row r="1165" spans="1:9" ht="27" hidden="1" customHeight="1" outlineLevel="1" x14ac:dyDescent="0.3">
      <c r="A1165" s="12"/>
      <c r="C1165" s="47" t="str">
        <f>_xlfn.CONCAT(_xlfn.XLOOKUP("[S05_ImprovementReportArt69]["&amp;ROW(B1165)-ROW($B$1143)&amp;"][InstallationCategory]",Submission!$O:$O,Submission!$H:$N,""))</f>
        <v>Category A</v>
      </c>
      <c r="D1165" s="281" t="str">
        <f>_xlfn.CONCAT(_xlfn.XLOOKUP("[S05_ImprovementReportArt69]["&amp;ROW(B1165)-ROW($B$1143)&amp;"][Annex1Activity]",Submission!$O:$O,Submission!$H:$N,""))</f>
        <v xml:space="preserve">38 - Production of nitric acid </v>
      </c>
      <c r="E1165" s="347"/>
      <c r="F1165" s="284" t="str">
        <f>_xlfn.CONCAT(_xlfn.XLOOKUP("[S05_ImprovementReportArt69]["&amp;ROW(B1165)-ROW($B$1143)&amp;"][ImprovementReportType]",Submission!$O:$O,Submission!$H:$N,""))</f>
        <v>Improvement report in accordance with Article 69(1)</v>
      </c>
      <c r="G1165" s="282"/>
      <c r="H1165" s="124" t="str">
        <f>_xlfn.CONCAT(_xlfn.XLOOKUP("[S05_ImprovementReportArt69]["&amp;ROW(B1165)-ROW($B$1143)&amp;"][ImprovementReportRequired]",Submission!$O:$O,Submission!$H:$N,""))</f>
        <v>2</v>
      </c>
      <c r="I1165" s="124" t="str">
        <f>_xlfn.CONCAT(_xlfn.XLOOKUP("[S05_ImprovementReportArt69]["&amp;ROW(B1165)-ROW($B$1143)&amp;"][ImprovementReportSubmitted]",Submission!$O:$O,Submission!$H:$N,""))</f>
        <v>2</v>
      </c>
    </row>
    <row r="1166" spans="1:9" ht="27" hidden="1" customHeight="1" outlineLevel="1" x14ac:dyDescent="0.3">
      <c r="A1166" s="12"/>
      <c r="C1166" s="47" t="str">
        <f>_xlfn.CONCAT(_xlfn.XLOOKUP("[S05_ImprovementReportArt69]["&amp;ROW(B1166)-ROW($B$1143)&amp;"][InstallationCategory]",Submission!$O:$O,Submission!$H:$N,""))</f>
        <v>Category A</v>
      </c>
      <c r="D1166" s="281" t="str">
        <f>_xlfn.CONCAT(_xlfn.XLOOKUP("[S05_ImprovementReportArt69]["&amp;ROW(B1166)-ROW($B$1143)&amp;"][Annex1Activity]",Submission!$O:$O,Submission!$H:$N,""))</f>
        <v>25 - Production or processing of ferrous metals as specified in Annex I of Directive 2003/87/EC</v>
      </c>
      <c r="E1166" s="347"/>
      <c r="F1166" s="284" t="str">
        <f>_xlfn.CONCAT(_xlfn.XLOOKUP("[S05_ImprovementReportArt69]["&amp;ROW(B1166)-ROW($B$1143)&amp;"][ImprovementReportType]",Submission!$O:$O,Submission!$H:$N,""))</f>
        <v>Improvement report in accordance with Article 69(1)</v>
      </c>
      <c r="G1166" s="282"/>
      <c r="H1166" s="124" t="str">
        <f>_xlfn.CONCAT(_xlfn.XLOOKUP("[S05_ImprovementReportArt69]["&amp;ROW(B1166)-ROW($B$1143)&amp;"][ImprovementReportRequired]",Submission!$O:$O,Submission!$H:$N,""))</f>
        <v>2</v>
      </c>
      <c r="I1166" s="124" t="str">
        <f>_xlfn.CONCAT(_xlfn.XLOOKUP("[S05_ImprovementReportArt69]["&amp;ROW(B1166)-ROW($B$1143)&amp;"][ImprovementReportSubmitted]",Submission!$O:$O,Submission!$H:$N,""))</f>
        <v>2</v>
      </c>
    </row>
    <row r="1167" spans="1:9" ht="27" hidden="1" customHeight="1" outlineLevel="1" x14ac:dyDescent="0.3">
      <c r="A1167" s="12"/>
      <c r="C1167" s="47" t="str">
        <f>_xlfn.CONCAT(_xlfn.XLOOKUP("[S05_ImprovementReportArt69]["&amp;ROW(B1167)-ROW($B$1143)&amp;"][InstallationCategory]",Submission!$O:$O,Submission!$H:$N,""))</f>
        <v>Category A</v>
      </c>
      <c r="D1167" s="281" t="str">
        <f>_xlfn.CONCAT(_xlfn.XLOOKUP("[S05_ImprovementReportArt69]["&amp;ROW(B1167)-ROW($B$1143)&amp;"][Annex1Activity]",Submission!$O:$O,Submission!$H:$N,""))</f>
        <v xml:space="preserve">43 - Production of hydrogen (H2) and synthesis gas as specified in Annex I of Directive 2003/87/EC </v>
      </c>
      <c r="E1167" s="347"/>
      <c r="F1167" s="284" t="str">
        <f>_xlfn.CONCAT(_xlfn.XLOOKUP("[S05_ImprovementReportArt69]["&amp;ROW(B1167)-ROW($B$1143)&amp;"][ImprovementReportType]",Submission!$O:$O,Submission!$H:$N,""))</f>
        <v>Improvement report in accordance with Article 69(1)</v>
      </c>
      <c r="G1167" s="282"/>
      <c r="H1167" s="124" t="str">
        <f>_xlfn.CONCAT(_xlfn.XLOOKUP("[S05_ImprovementReportArt69]["&amp;ROW(B1167)-ROW($B$1143)&amp;"][ImprovementReportRequired]",Submission!$O:$O,Submission!$H:$N,""))</f>
        <v>1</v>
      </c>
      <c r="I1167" s="124" t="str">
        <f>_xlfn.CONCAT(_xlfn.XLOOKUP("[S05_ImprovementReportArt69]["&amp;ROW(B1167)-ROW($B$1143)&amp;"][ImprovementReportSubmitted]",Submission!$O:$O,Submission!$H:$N,""))</f>
        <v>1</v>
      </c>
    </row>
    <row r="1168" spans="1:9" ht="27" hidden="1" customHeight="1" outlineLevel="1" x14ac:dyDescent="0.3">
      <c r="A1168" s="12"/>
      <c r="C1168" s="47" t="str">
        <f>_xlfn.CONCAT(_xlfn.XLOOKUP("[S05_ImprovementReportArt69]["&amp;ROW(B1168)-ROW($B$1143)&amp;"][InstallationCategory]",Submission!$O:$O,Submission!$H:$N,""))</f>
        <v>Category A</v>
      </c>
      <c r="D1168" s="281" t="str">
        <f>_xlfn.CONCAT(_xlfn.XLOOKUP("[S05_ImprovementReportArt69]["&amp;ROW(B1168)-ROW($B$1143)&amp;"][Annex1Activity]",Submission!$O:$O,Submission!$H:$N,""))</f>
        <v xml:space="preserve">42 - Production of bulk organic chemicals as specified in Annex I of Directive 2003/87/EC </v>
      </c>
      <c r="E1168" s="347"/>
      <c r="F1168" s="284" t="str">
        <f>_xlfn.CONCAT(_xlfn.XLOOKUP("[S05_ImprovementReportArt69]["&amp;ROW(B1168)-ROW($B$1143)&amp;"][ImprovementReportType]",Submission!$O:$O,Submission!$H:$N,""))</f>
        <v>Improvement report in accordance with Article 69(1)</v>
      </c>
      <c r="G1168" s="282"/>
      <c r="H1168" s="124" t="str">
        <f>_xlfn.CONCAT(_xlfn.XLOOKUP("[S05_ImprovementReportArt69]["&amp;ROW(B1168)-ROW($B$1143)&amp;"][ImprovementReportRequired]",Submission!$O:$O,Submission!$H:$N,""))</f>
        <v>2</v>
      </c>
      <c r="I1168" s="124" t="str">
        <f>_xlfn.CONCAT(_xlfn.XLOOKUP("[S05_ImprovementReportArt69]["&amp;ROW(B1168)-ROW($B$1143)&amp;"][ImprovementReportSubmitted]",Submission!$O:$O,Submission!$H:$N,""))</f>
        <v>2</v>
      </c>
    </row>
    <row r="1169" spans="1:9" ht="27" hidden="1" customHeight="1" outlineLevel="1" x14ac:dyDescent="0.3">
      <c r="A1169" s="12"/>
      <c r="C1169" s="47" t="str">
        <f>_xlfn.CONCAT(_xlfn.XLOOKUP("[S05_ImprovementReportArt69]["&amp;ROW(B1169)-ROW($B$1143)&amp;"][InstallationCategory]",Submission!$O:$O,Submission!$H:$N,""))</f>
        <v>Category A</v>
      </c>
      <c r="D1169" s="281" t="str">
        <f>_xlfn.CONCAT(_xlfn.XLOOKUP("[S05_ImprovementReportArt69]["&amp;ROW(B1169)-ROW($B$1143)&amp;"][Annex1Activity]",Submission!$O:$O,Submission!$H:$N,""))</f>
        <v>28 - Production or processing of non-ferrous metals as specified in Annex I of Directive 2003/87/EC</v>
      </c>
      <c r="E1169" s="347"/>
      <c r="F1169" s="284" t="str">
        <f>_xlfn.CONCAT(_xlfn.XLOOKUP("[S05_ImprovementReportArt69]["&amp;ROW(B1169)-ROW($B$1143)&amp;"][ImprovementReportType]",Submission!$O:$O,Submission!$H:$N,""))</f>
        <v>Improvement report in accordance with Article 69(1)</v>
      </c>
      <c r="G1169" s="282"/>
      <c r="H1169" s="124" t="str">
        <f>_xlfn.CONCAT(_xlfn.XLOOKUP("[S05_ImprovementReportArt69]["&amp;ROW(B1169)-ROW($B$1143)&amp;"][ImprovementReportRequired]",Submission!$O:$O,Submission!$H:$N,""))</f>
        <v>1</v>
      </c>
      <c r="I1169" s="124" t="str">
        <f>_xlfn.CONCAT(_xlfn.XLOOKUP("[S05_ImprovementReportArt69]["&amp;ROW(B1169)-ROW($B$1143)&amp;"][ImprovementReportSubmitted]",Submission!$O:$O,Submission!$H:$N,""))</f>
        <v>1</v>
      </c>
    </row>
    <row r="1170" spans="1:9" ht="27" hidden="1" customHeight="1" outlineLevel="1" x14ac:dyDescent="0.3">
      <c r="A1170" s="12"/>
      <c r="C1170" s="47" t="str">
        <f>_xlfn.CONCAT(_xlfn.XLOOKUP("[S05_ImprovementReportArt69]["&amp;ROW(B1170)-ROW($B$1143)&amp;"][InstallationCategory]",Submission!$O:$O,Submission!$H:$N,""))</f>
        <v>Category A</v>
      </c>
      <c r="D1170" s="281" t="str">
        <f>_xlfn.CONCAT(_xlfn.XLOOKUP("[S05_ImprovementReportArt69]["&amp;ROW(B1170)-ROW($B$1143)&amp;"][Annex1Activity]",Submission!$O:$O,Submission!$H:$N,""))</f>
        <v>32 - Manufacture of ceramic products as specified in Annex I of Directive 2003/87/EC</v>
      </c>
      <c r="E1170" s="347"/>
      <c r="F1170" s="284" t="str">
        <f>_xlfn.CONCAT(_xlfn.XLOOKUP("[S05_ImprovementReportArt69]["&amp;ROW(B1170)-ROW($B$1143)&amp;"][ImprovementReportType]",Submission!$O:$O,Submission!$H:$N,""))</f>
        <v>Improvement report in accordance with Article 69(1)</v>
      </c>
      <c r="G1170" s="282"/>
      <c r="H1170" s="124" t="str">
        <f>_xlfn.CONCAT(_xlfn.XLOOKUP("[S05_ImprovementReportArt69]["&amp;ROW(B1170)-ROW($B$1143)&amp;"][ImprovementReportRequired]",Submission!$O:$O,Submission!$H:$N,""))</f>
        <v>2</v>
      </c>
      <c r="I1170" s="124" t="str">
        <f>_xlfn.CONCAT(_xlfn.XLOOKUP("[S05_ImprovementReportArt69]["&amp;ROW(B1170)-ROW($B$1143)&amp;"][ImprovementReportSubmitted]",Submission!$O:$O,Submission!$H:$N,""))</f>
        <v>2</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Yes</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CO2 in PCC (Article 49(1) (b))</v>
      </c>
      <c r="D1220" s="72" t="str">
        <f>_xlfn.CONCAT(_xlfn.XLOOKUP("[S05_InherentCarbonTransferredDetail]["&amp;ROW(B1220)-ROW($B$1219)&amp;"][InstallationIdTransferring]",Submission!$O:$O,Submission!$H:$N,""))</f>
        <v>2400</v>
      </c>
      <c r="E1220" s="72" t="str">
        <f>_xlfn.CONCAT(_xlfn.XLOOKUP("[S05_InherentCarbonTransferredDetail]["&amp;ROW(B1220)-ROW($B$1219)&amp;"][InstallationIdReceiving]",Submission!$O:$O,Submission!$H:$N,""))</f>
        <v>0</v>
      </c>
      <c r="F1220" s="124" t="str">
        <f>_xlfn.CONCAT(_xlfn.XLOOKUP("[S05_InherentCarbonTransferredDetail]["&amp;ROW(B1220)-ROW($B$1219)&amp;"][AmountCO2Transferred]",Submission!$O:$O,Submission!$H:$N,""))</f>
        <v>7752.4</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Transfer of CO2 in PCC (Article 49(1) (b))</v>
      </c>
      <c r="D1221" s="72" t="str">
        <f>_xlfn.CONCAT(_xlfn.XLOOKUP("[S05_InherentCarbonTransferredDetail]["&amp;ROW(B1221)-ROW($B$1219)&amp;"][InstallationIdTransferring]",Submission!$O:$O,Submission!$H:$N,""))</f>
        <v>1214</v>
      </c>
      <c r="E1221" s="72" t="str">
        <f>_xlfn.CONCAT(_xlfn.XLOOKUP("[S05_InherentCarbonTransferredDetail]["&amp;ROW(B1221)-ROW($B$1219)&amp;"][InstallationIdReceiving]",Submission!$O:$O,Submission!$H:$N,""))</f>
        <v>0</v>
      </c>
      <c r="F1221" s="124" t="str">
        <f>_xlfn.CONCAT(_xlfn.XLOOKUP("[S05_InherentCarbonTransferredDetail]["&amp;ROW(B1221)-ROW($B$1219)&amp;"][AmountCO2Transferred]",Submission!$O:$O,Submission!$H:$N,""))</f>
        <v>20559.973</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Transfer of CO2 in PCC (Article 49(1) (b))</v>
      </c>
      <c r="D1222" s="72" t="str">
        <f>_xlfn.CONCAT(_xlfn.XLOOKUP("[S05_InherentCarbonTransferredDetail]["&amp;ROW(B1222)-ROW($B$1219)&amp;"][InstallationIdTransferring]",Submission!$O:$O,Submission!$H:$N,""))</f>
        <v>2299</v>
      </c>
      <c r="E1222" s="72" t="str">
        <f>_xlfn.CONCAT(_xlfn.XLOOKUP("[S05_InherentCarbonTransferredDetail]["&amp;ROW(B1222)-ROW($B$1219)&amp;"][InstallationIdReceiving]",Submission!$O:$O,Submission!$H:$N,""))</f>
        <v>0</v>
      </c>
      <c r="F1222" s="124" t="str">
        <f>_xlfn.CONCAT(_xlfn.XLOOKUP("[S05_InherentCarbonTransferredDetail]["&amp;ROW(B1222)-ROW($B$1219)&amp;"][AmountCO2Transferred]",Submission!$O:$O,Submission!$H:$N,""))</f>
        <v>3058.3</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Transfer of CO2 in PCC (Article 49(1) (b))</v>
      </c>
      <c r="D1223" s="72" t="str">
        <f>_xlfn.CONCAT(_xlfn.XLOOKUP("[S05_InherentCarbonTransferredDetail]["&amp;ROW(B1223)-ROW($B$1219)&amp;"][InstallationIdTransferring]",Submission!$O:$O,Submission!$H:$N,""))</f>
        <v>2910</v>
      </c>
      <c r="E1223" s="72" t="str">
        <f>_xlfn.CONCAT(_xlfn.XLOOKUP("[S05_InherentCarbonTransferredDetail]["&amp;ROW(B1223)-ROW($B$1219)&amp;"][InstallationIdReceiving]",Submission!$O:$O,Submission!$H:$N,""))</f>
        <v>0</v>
      </c>
      <c r="F1223" s="124" t="str">
        <f>_xlfn.CONCAT(_xlfn.XLOOKUP("[S05_InherentCarbonTransferredDetail]["&amp;ROW(B1223)-ROW($B$1219)&amp;"][AmountCO2Transferred]",Submission!$O:$O,Submission!$H:$N,""))</f>
        <v>15159.507</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Transfer of N2O (Article 50)</v>
      </c>
      <c r="D1224" s="72" t="str">
        <f>_xlfn.CONCAT(_xlfn.XLOOKUP("[S05_InherentCarbonTransferredDetail]["&amp;ROW(B1224)-ROW($B$1219)&amp;"][InstallationIdTransferring]",Submission!$O:$O,Submission!$H:$N,""))</f>
        <v>2747</v>
      </c>
      <c r="E1224" s="72" t="str">
        <f>_xlfn.CONCAT(_xlfn.XLOOKUP("[S05_InherentCarbonTransferredDetail]["&amp;ROW(B1224)-ROW($B$1219)&amp;"][InstallationIdReceiving]",Submission!$O:$O,Submission!$H:$N,""))</f>
        <v>2745</v>
      </c>
      <c r="F1224" s="124" t="str">
        <f>_xlfn.CONCAT(_xlfn.XLOOKUP("[S05_InherentCarbonTransferredDetail]["&amp;ROW(B1224)-ROW($B$1219)&amp;"][AmountCO2Transferred]",Submission!$O:$O,Submission!$H:$N,""))</f>
        <v>9617.157</v>
      </c>
      <c r="G1224" s="124" t="str">
        <f>_xlfn.CONCAT(_xlfn.XLOOKUP("[S05_InherentCarbonTransferredDetail]["&amp;ROW(B1224)-ROW($B$1219)&amp;"][InherentCO2Received]",Submission!$O:$O,Submission!$H:$N,""))</f>
        <v>9617.157</v>
      </c>
      <c r="H1224" s="71" t="str">
        <f>_xlfn.CONCAT(_xlfn.XLOOKUP("[S05_InherentCarbonTransferredDetail]["&amp;ROW(B1224)-ROW($B$1219)&amp;"][ReceivingInstallationType]",Submission!$O:$O,Submission!$H:$N,""))</f>
        <v xml:space="preserve">38 - Production of nitric acid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Transfer of N2O (Article 50)</v>
      </c>
      <c r="D1225" s="72" t="str">
        <f>_xlfn.CONCAT(_xlfn.XLOOKUP("[S05_InherentCarbonTransferredDetail]["&amp;ROW(B1225)-ROW($B$1219)&amp;"][InstallationIdTransferring]",Submission!$O:$O,Submission!$H:$N,""))</f>
        <v>2751</v>
      </c>
      <c r="E1225" s="72" t="str">
        <f>_xlfn.CONCAT(_xlfn.XLOOKUP("[S05_InherentCarbonTransferredDetail]["&amp;ROW(B1225)-ROW($B$1219)&amp;"][InstallationIdReceiving]",Submission!$O:$O,Submission!$H:$N,""))</f>
        <v>2745</v>
      </c>
      <c r="F1225" s="124" t="str">
        <f>_xlfn.CONCAT(_xlfn.XLOOKUP("[S05_InherentCarbonTransferredDetail]["&amp;ROW(B1225)-ROW($B$1219)&amp;"][AmountCO2Transferred]",Submission!$O:$O,Submission!$H:$N,""))</f>
        <v>12905063.492</v>
      </c>
      <c r="G1225" s="124" t="str">
        <f>_xlfn.CONCAT(_xlfn.XLOOKUP("[S05_InherentCarbonTransferredDetail]["&amp;ROW(B1225)-ROW($B$1219)&amp;"][InherentCO2Received]",Submission!$O:$O,Submission!$H:$N,""))</f>
        <v>12905063.492</v>
      </c>
      <c r="H1225" s="71" t="str">
        <f>_xlfn.CONCAT(_xlfn.XLOOKUP("[S05_InherentCarbonTransferredDetail]["&amp;ROW(B1225)-ROW($B$1219)&amp;"][ReceivingInstallationType]",Submission!$O:$O,Submission!$H:$N,""))</f>
        <v xml:space="preserve">38 - Production of nitric acid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Transfer of inherent CO2 (Article 48)</v>
      </c>
      <c r="D1226" s="72" t="str">
        <f>_xlfn.CONCAT(_xlfn.XLOOKUP("[S05_InherentCarbonTransferredDetail]["&amp;ROW(B1226)-ROW($B$1219)&amp;"][InstallationIdTransferring]",Submission!$O:$O,Submission!$H:$N,""))</f>
        <v>1003</v>
      </c>
      <c r="E1226" s="72" t="str">
        <f>_xlfn.CONCAT(_xlfn.XLOOKUP("[S05_InherentCarbonTransferredDetail]["&amp;ROW(B1226)-ROW($B$1219)&amp;"][InstallationIdReceiving]",Submission!$O:$O,Submission!$H:$N,""))</f>
        <v>2581</v>
      </c>
      <c r="F1226" s="124" t="str">
        <f>_xlfn.CONCAT(_xlfn.XLOOKUP("[S05_InherentCarbonTransferredDetail]["&amp;ROW(B1226)-ROW($B$1219)&amp;"][AmountCO2Transferred]",Submission!$O:$O,Submission!$H:$N,""))</f>
        <v>150.22</v>
      </c>
      <c r="G1226" s="124" t="str">
        <f>_xlfn.CONCAT(_xlfn.XLOOKUP("[S05_InherentCarbonTransferredDetail]["&amp;ROW(B1226)-ROW($B$1219)&amp;"][InherentCO2Received]",Submission!$O:$O,Submission!$H:$N,""))</f>
        <v>150.22</v>
      </c>
      <c r="H1226" s="71" t="str">
        <f>_xlfn.CONCAT(_xlfn.XLOOKUP("[S05_InherentCarbonTransferredDetail]["&amp;ROW(B1226)-ROW($B$1219)&amp;"][ReceivingInstallationType]",Submission!$O:$O,Submission!$H:$N,""))</f>
        <v>20 - Combustion of fuels as specified in Annex I of Directive 2003/87/EC</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Transfer of inherent CO2 (Article 48)</v>
      </c>
      <c r="D1227" s="72" t="str">
        <f>_xlfn.CONCAT(_xlfn.XLOOKUP("[S05_InherentCarbonTransferredDetail]["&amp;ROW(B1227)-ROW($B$1219)&amp;"][InstallationIdTransferring]",Submission!$O:$O,Submission!$H:$N,""))</f>
        <v>1014</v>
      </c>
      <c r="E1227" s="72" t="str">
        <f>_xlfn.CONCAT(_xlfn.XLOOKUP("[S05_InherentCarbonTransferredDetail]["&amp;ROW(B1227)-ROW($B$1219)&amp;"][InstallationIdReceiving]",Submission!$O:$O,Submission!$H:$N,""))</f>
        <v>2197</v>
      </c>
      <c r="F1227" s="124" t="str">
        <f>_xlfn.CONCAT(_xlfn.XLOOKUP("[S05_InherentCarbonTransferredDetail]["&amp;ROW(B1227)-ROW($B$1219)&amp;"][AmountCO2Transferred]",Submission!$O:$O,Submission!$H:$N,""))</f>
        <v>28502.758</v>
      </c>
      <c r="G1227" s="124" t="str">
        <f>_xlfn.CONCAT(_xlfn.XLOOKUP("[S05_InherentCarbonTransferredDetail]["&amp;ROW(B1227)-ROW($B$1219)&amp;"][InherentCO2Received]",Submission!$O:$O,Submission!$H:$N,""))</f>
        <v>28502.758</v>
      </c>
      <c r="H1227" s="71" t="str">
        <f>_xlfn.CONCAT(_xlfn.XLOOKUP("[S05_InherentCarbonTransferredDetail]["&amp;ROW(B1227)-ROW($B$1219)&amp;"][ReceivingInstallationType]",Submission!$O:$O,Submission!$H:$N,""))</f>
        <v>20 - Combustion of fuels as specified in Annex I of Directive 2003/87/EC</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Transfer of inherent CO2 (Article 48)</v>
      </c>
      <c r="D1228" s="72" t="str">
        <f>_xlfn.CONCAT(_xlfn.XLOOKUP("[S05_InherentCarbonTransferredDetail]["&amp;ROW(B1228)-ROW($B$1219)&amp;"][InstallationIdTransferring]",Submission!$O:$O,Submission!$H:$N,""))</f>
        <v>1014</v>
      </c>
      <c r="E1228" s="72" t="str">
        <f>_xlfn.CONCAT(_xlfn.XLOOKUP("[S05_InherentCarbonTransferredDetail]["&amp;ROW(B1228)-ROW($B$1219)&amp;"][InstallationIdReceiving]",Submission!$O:$O,Submission!$H:$N,""))</f>
        <v>2731</v>
      </c>
      <c r="F1228" s="124" t="str">
        <f>_xlfn.CONCAT(_xlfn.XLOOKUP("[S05_InherentCarbonTransferredDetail]["&amp;ROW(B1228)-ROW($B$1219)&amp;"][AmountCO2Transferred]",Submission!$O:$O,Submission!$H:$N,""))</f>
        <v>184562.025</v>
      </c>
      <c r="G1228" s="124" t="str">
        <f>_xlfn.CONCAT(_xlfn.XLOOKUP("[S05_InherentCarbonTransferredDetail]["&amp;ROW(B1228)-ROW($B$1219)&amp;"][InherentCO2Received]",Submission!$O:$O,Submission!$H:$N,""))</f>
        <v>184562.025</v>
      </c>
      <c r="H1228" s="71" t="str">
        <f>_xlfn.CONCAT(_xlfn.XLOOKUP("[S05_InherentCarbonTransferredDetail]["&amp;ROW(B1228)-ROW($B$1219)&amp;"][ReceivingInstallationType]",Submission!$O:$O,Submission!$H:$N,""))</f>
        <v xml:space="preserve">43 - Production of hydrogen (H2) and synthesis gas as specified in Annex I of Directive 2003/87/EC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Transfer of inherent CO2 (Article 48)</v>
      </c>
      <c r="D1229" s="72" t="str">
        <f>_xlfn.CONCAT(_xlfn.XLOOKUP("[S05_InherentCarbonTransferredDetail]["&amp;ROW(B1229)-ROW($B$1219)&amp;"][InstallationIdTransferring]",Submission!$O:$O,Submission!$H:$N,""))</f>
        <v>1022</v>
      </c>
      <c r="E1229" s="72" t="str">
        <f>_xlfn.CONCAT(_xlfn.XLOOKUP("[S05_InherentCarbonTransferredDetail]["&amp;ROW(B1229)-ROW($B$1219)&amp;"][InstallationIdReceiving]",Submission!$O:$O,Submission!$H:$N,""))</f>
        <v>2727</v>
      </c>
      <c r="F1229" s="124" t="str">
        <f>_xlfn.CONCAT(_xlfn.XLOOKUP("[S05_InherentCarbonTransferredDetail]["&amp;ROW(B1229)-ROW($B$1219)&amp;"][AmountCO2Transferred]",Submission!$O:$O,Submission!$H:$N,""))</f>
        <v>26298.783</v>
      </c>
      <c r="G1229" s="124" t="str">
        <f>_xlfn.CONCAT(_xlfn.XLOOKUP("[S05_InherentCarbonTransferredDetail]["&amp;ROW(B1229)-ROW($B$1219)&amp;"][InherentCO2Received]",Submission!$O:$O,Submission!$H:$N,""))</f>
        <v>26298.783</v>
      </c>
      <c r="H1229" s="71" t="str">
        <f>_xlfn.CONCAT(_xlfn.XLOOKUP("[S05_InherentCarbonTransferredDetail]["&amp;ROW(B1229)-ROW($B$1219)&amp;"][ReceivingInstallationType]",Submission!$O:$O,Submission!$H:$N,""))</f>
        <v xml:space="preserve">43 - Production of hydrogen (H2) and synthesis gas as specified in Annex I of Directive 2003/87/EC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Transfer of inherent CO2 (Article 48)</v>
      </c>
      <c r="D1230" s="72" t="str">
        <f>_xlfn.CONCAT(_xlfn.XLOOKUP("[S05_InherentCarbonTransferredDetail]["&amp;ROW(B1230)-ROW($B$1219)&amp;"][InstallationIdTransferring]",Submission!$O:$O,Submission!$H:$N,""))</f>
        <v>1035</v>
      </c>
      <c r="E1230" s="72" t="str">
        <f>_xlfn.CONCAT(_xlfn.XLOOKUP("[S05_InherentCarbonTransferredDetail]["&amp;ROW(B1230)-ROW($B$1219)&amp;"][InstallationIdReceiving]",Submission!$O:$O,Submission!$H:$N,""))</f>
        <v>1070</v>
      </c>
      <c r="F1230" s="124" t="str">
        <f>_xlfn.CONCAT(_xlfn.XLOOKUP("[S05_InherentCarbonTransferredDetail]["&amp;ROW(B1230)-ROW($B$1219)&amp;"][AmountCO2Transferred]",Submission!$O:$O,Submission!$H:$N,""))</f>
        <v>142638.3</v>
      </c>
      <c r="G1230" s="124" t="str">
        <f>_xlfn.CONCAT(_xlfn.XLOOKUP("[S05_InherentCarbonTransferredDetail]["&amp;ROW(B1230)-ROW($B$1219)&amp;"][InherentCO2Received]",Submission!$O:$O,Submission!$H:$N,""))</f>
        <v>142638.3</v>
      </c>
      <c r="H1230" s="71" t="str">
        <f>_xlfn.CONCAT(_xlfn.XLOOKUP("[S05_InherentCarbonTransferredDetail]["&amp;ROW(B1230)-ROW($B$1219)&amp;"][ReceivingInstallationType]",Submission!$O:$O,Submission!$H:$N,""))</f>
        <v>25 - Production or processing of ferrous metals as specified in Annex I of Directive 2003/87/EC</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Transfer of inherent CO2 (Article 48)</v>
      </c>
      <c r="D1231" s="72" t="str">
        <f>_xlfn.CONCAT(_xlfn.XLOOKUP("[S05_InherentCarbonTransferredDetail]["&amp;ROW(B1231)-ROW($B$1219)&amp;"][InstallationIdTransferring]",Submission!$O:$O,Submission!$H:$N,""))</f>
        <v>1035</v>
      </c>
      <c r="E1231" s="72" t="str">
        <f>_xlfn.CONCAT(_xlfn.XLOOKUP("[S05_InherentCarbonTransferredDetail]["&amp;ROW(B1231)-ROW($B$1219)&amp;"][InstallationIdReceiving]",Submission!$O:$O,Submission!$H:$N,""))</f>
        <v>2025</v>
      </c>
      <c r="F1231" s="124" t="str">
        <f>_xlfn.CONCAT(_xlfn.XLOOKUP("[S05_InherentCarbonTransferredDetail]["&amp;ROW(B1231)-ROW($B$1219)&amp;"][AmountCO2Transferred]",Submission!$O:$O,Submission!$H:$N,""))</f>
        <v>3560544.9</v>
      </c>
      <c r="G1231" s="124" t="str">
        <f>_xlfn.CONCAT(_xlfn.XLOOKUP("[S05_InherentCarbonTransferredDetail]["&amp;ROW(B1231)-ROW($B$1219)&amp;"][InherentCO2Received]",Submission!$O:$O,Submission!$H:$N,""))</f>
        <v>3560544.9</v>
      </c>
      <c r="H1231" s="71" t="str">
        <f>_xlfn.CONCAT(_xlfn.XLOOKUP("[S05_InherentCarbonTransferredDetail]["&amp;ROW(B1231)-ROW($B$1219)&amp;"][ReceivingInstallationType]",Submission!$O:$O,Submission!$H:$N,""))</f>
        <v>20 - Combustion of fuels as specified in Annex I of Directive 2003/87/EC</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Transfer of inherent CO2 (Article 48)</v>
      </c>
      <c r="D1232" s="72" t="str">
        <f>_xlfn.CONCAT(_xlfn.XLOOKUP("[S05_InherentCarbonTransferredDetail]["&amp;ROW(B1232)-ROW($B$1219)&amp;"][InstallationIdTransferring]",Submission!$O:$O,Submission!$H:$N,""))</f>
        <v>1037</v>
      </c>
      <c r="E1232" s="72" t="str">
        <f>_xlfn.CONCAT(_xlfn.XLOOKUP("[S05_InherentCarbonTransferredDetail]["&amp;ROW(B1232)-ROW($B$1219)&amp;"][InstallationIdReceiving]",Submission!$O:$O,Submission!$H:$N,""))</f>
        <v>1002</v>
      </c>
      <c r="F1232" s="124" t="str">
        <f>_xlfn.CONCAT(_xlfn.XLOOKUP("[S05_InherentCarbonTransferredDetail]["&amp;ROW(B1232)-ROW($B$1219)&amp;"][AmountCO2Transferred]",Submission!$O:$O,Submission!$H:$N,""))</f>
        <v>35017.352</v>
      </c>
      <c r="G1232" s="124" t="str">
        <f>_xlfn.CONCAT(_xlfn.XLOOKUP("[S05_InherentCarbonTransferredDetail]["&amp;ROW(B1232)-ROW($B$1219)&amp;"][InherentCO2Received]",Submission!$O:$O,Submission!$H:$N,""))</f>
        <v>35017</v>
      </c>
      <c r="H1232" s="71" t="str">
        <f>_xlfn.CONCAT(_xlfn.XLOOKUP("[S05_InherentCarbonTransferredDetail]["&amp;ROW(B1232)-ROW($B$1219)&amp;"][ReceivingInstallationType]",Submission!$O:$O,Submission!$H:$N,""))</f>
        <v>21 - Refining of mineral oil</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Transfer of inherent CO2 (Article 48)</v>
      </c>
      <c r="D1233" s="72" t="str">
        <f>_xlfn.CONCAT(_xlfn.XLOOKUP("[S05_InherentCarbonTransferredDetail]["&amp;ROW(B1233)-ROW($B$1219)&amp;"][InstallationIdTransferring]",Submission!$O:$O,Submission!$H:$N,""))</f>
        <v>1037</v>
      </c>
      <c r="E1233" s="72" t="str">
        <f>_xlfn.CONCAT(_xlfn.XLOOKUP("[S05_InherentCarbonTransferredDetail]["&amp;ROW(B1233)-ROW($B$1219)&amp;"][InstallationIdReceiving]",Submission!$O:$O,Submission!$H:$N,""))</f>
        <v>1003</v>
      </c>
      <c r="F1233" s="124" t="str">
        <f>_xlfn.CONCAT(_xlfn.XLOOKUP("[S05_InherentCarbonTransferredDetail]["&amp;ROW(B1233)-ROW($B$1219)&amp;"][AmountCO2Transferred]",Submission!$O:$O,Submission!$H:$N,""))</f>
        <v>63407.389</v>
      </c>
      <c r="G1233" s="124" t="str">
        <f>_xlfn.CONCAT(_xlfn.XLOOKUP("[S05_InherentCarbonTransferredDetail]["&amp;ROW(B1233)-ROW($B$1219)&amp;"][InherentCO2Received]",Submission!$O:$O,Submission!$H:$N,""))</f>
        <v>63407</v>
      </c>
      <c r="H1233" s="71" t="str">
        <f>_xlfn.CONCAT(_xlfn.XLOOKUP("[S05_InherentCarbonTransferredDetail]["&amp;ROW(B1233)-ROW($B$1219)&amp;"][ReceivingInstallationType]",Submission!$O:$O,Submission!$H:$N,""))</f>
        <v>21 - Refining of mineral oil</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Transfer of inherent CO2 (Article 48)</v>
      </c>
      <c r="D1234" s="72" t="str">
        <f>_xlfn.CONCAT(_xlfn.XLOOKUP("[S05_InherentCarbonTransferredDetail]["&amp;ROW(B1234)-ROW($B$1219)&amp;"][InstallationIdTransferring]",Submission!$O:$O,Submission!$H:$N,""))</f>
        <v>1037</v>
      </c>
      <c r="E1234" s="72" t="str">
        <f>_xlfn.CONCAT(_xlfn.XLOOKUP("[S05_InherentCarbonTransferredDetail]["&amp;ROW(B1234)-ROW($B$1219)&amp;"][InstallationIdReceiving]",Submission!$O:$O,Submission!$H:$N,""))</f>
        <v>2153</v>
      </c>
      <c r="F1234" s="124" t="str">
        <f>_xlfn.CONCAT(_xlfn.XLOOKUP("[S05_InherentCarbonTransferredDetail]["&amp;ROW(B1234)-ROW($B$1219)&amp;"][AmountCO2Transferred]",Submission!$O:$O,Submission!$H:$N,""))</f>
        <v>25971.906</v>
      </c>
      <c r="G1234" s="124" t="str">
        <f>_xlfn.CONCAT(_xlfn.XLOOKUP("[S05_InherentCarbonTransferredDetail]["&amp;ROW(B1234)-ROW($B$1219)&amp;"][InherentCO2Received]",Submission!$O:$O,Submission!$H:$N,""))</f>
        <v>26928.284</v>
      </c>
      <c r="H1234" s="71" t="str">
        <f>_xlfn.CONCAT(_xlfn.XLOOKUP("[S05_InherentCarbonTransferredDetail]["&amp;ROW(B1234)-ROW($B$1219)&amp;"][ReceivingInstallationType]",Submission!$O:$O,Submission!$H:$N,""))</f>
        <v>20 - Combustion of fuels as specified in Annex I of Directive 2003/87/EC</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Transfer of inherent CO2 (Article 48)</v>
      </c>
      <c r="D1235" s="72" t="str">
        <f>_xlfn.CONCAT(_xlfn.XLOOKUP("[S05_InherentCarbonTransferredDetail]["&amp;ROW(B1235)-ROW($B$1219)&amp;"][InstallationIdTransferring]",Submission!$O:$O,Submission!$H:$N,""))</f>
        <v>1037</v>
      </c>
      <c r="E1235" s="72" t="str">
        <f>_xlfn.CONCAT(_xlfn.XLOOKUP("[S05_InherentCarbonTransferredDetail]["&amp;ROW(B1235)-ROW($B$1219)&amp;"][InstallationIdReceiving]",Submission!$O:$O,Submission!$H:$N,""))</f>
        <v>2533</v>
      </c>
      <c r="F1235" s="124" t="str">
        <f>_xlfn.CONCAT(_xlfn.XLOOKUP("[S05_InherentCarbonTransferredDetail]["&amp;ROW(B1235)-ROW($B$1219)&amp;"][AmountCO2Transferred]",Submission!$O:$O,Submission!$H:$N,""))</f>
        <v>30826.698</v>
      </c>
      <c r="G1235" s="124" t="str">
        <f>_xlfn.CONCAT(_xlfn.XLOOKUP("[S05_InherentCarbonTransferredDetail]["&amp;ROW(B1235)-ROW($B$1219)&amp;"][InherentCO2Received]",Submission!$O:$O,Submission!$H:$N,""))</f>
        <v>30826.698</v>
      </c>
      <c r="H1235" s="71" t="str">
        <f>_xlfn.CONCAT(_xlfn.XLOOKUP("[S05_InherentCarbonTransferredDetail]["&amp;ROW(B1235)-ROW($B$1219)&amp;"][ReceivingInstallationType]",Submission!$O:$O,Submission!$H:$N,""))</f>
        <v>20 - Combustion of fuels as specified in Annex I of Directive 2003/87/EC</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Transfer of inherent CO2 (Article 48)</v>
      </c>
      <c r="D1236" s="72" t="str">
        <f>_xlfn.CONCAT(_xlfn.XLOOKUP("[S05_InherentCarbonTransferredDetail]["&amp;ROW(B1236)-ROW($B$1219)&amp;"][InstallationIdTransferring]",Submission!$O:$O,Submission!$H:$N,""))</f>
        <v>1041</v>
      </c>
      <c r="E1236" s="72" t="str">
        <f>_xlfn.CONCAT(_xlfn.XLOOKUP("[S05_InherentCarbonTransferredDetail]["&amp;ROW(B1236)-ROW($B$1219)&amp;"][InstallationIdReceiving]",Submission!$O:$O,Submission!$H:$N,""))</f>
        <v>1044</v>
      </c>
      <c r="F1236" s="124" t="str">
        <f>_xlfn.CONCAT(_xlfn.XLOOKUP("[S05_InherentCarbonTransferredDetail]["&amp;ROW(B1236)-ROW($B$1219)&amp;"][AmountCO2Transferred]",Submission!$O:$O,Submission!$H:$N,""))</f>
        <v>126607.207</v>
      </c>
      <c r="G1236" s="124" t="str">
        <f>_xlfn.CONCAT(_xlfn.XLOOKUP("[S05_InherentCarbonTransferredDetail]["&amp;ROW(B1236)-ROW($B$1219)&amp;"][InherentCO2Received]",Submission!$O:$O,Submission!$H:$N,""))</f>
        <v>126607.207</v>
      </c>
      <c r="H1236" s="71" t="str">
        <f>_xlfn.CONCAT(_xlfn.XLOOKUP("[S05_InherentCarbonTransferredDetail]["&amp;ROW(B1236)-ROW($B$1219)&amp;"][ReceivingInstallationType]",Submission!$O:$O,Submission!$H:$N,""))</f>
        <v>24 - Production of pig iron or steel as specified in Annex I of Directive 2003/87/EC</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Transfer of inherent CO2 (Article 48)</v>
      </c>
      <c r="D1237" s="72" t="str">
        <f>_xlfn.CONCAT(_xlfn.XLOOKUP("[S05_InherentCarbonTransferredDetail]["&amp;ROW(B1237)-ROW($B$1219)&amp;"][InstallationIdTransferring]",Submission!$O:$O,Submission!$H:$N,""))</f>
        <v>1041</v>
      </c>
      <c r="E1237" s="72" t="str">
        <f>_xlfn.CONCAT(_xlfn.XLOOKUP("[S05_InherentCarbonTransferredDetail]["&amp;ROW(B1237)-ROW($B$1219)&amp;"][InstallationIdReceiving]",Submission!$O:$O,Submission!$H:$N,""))</f>
        <v>1048</v>
      </c>
      <c r="F1237" s="124" t="str">
        <f>_xlfn.CONCAT(_xlfn.XLOOKUP("[S05_InherentCarbonTransferredDetail]["&amp;ROW(B1237)-ROW($B$1219)&amp;"][AmountCO2Transferred]",Submission!$O:$O,Submission!$H:$N,""))</f>
        <v>8072.597</v>
      </c>
      <c r="G1237" s="124" t="str">
        <f>_xlfn.CONCAT(_xlfn.XLOOKUP("[S05_InherentCarbonTransferredDetail]["&amp;ROW(B1237)-ROW($B$1219)&amp;"][InherentCO2Received]",Submission!$O:$O,Submission!$H:$N,""))</f>
        <v>8072.597</v>
      </c>
      <c r="H1237" s="71" t="str">
        <f>_xlfn.CONCAT(_xlfn.XLOOKUP("[S05_InherentCarbonTransferredDetail]["&amp;ROW(B1237)-ROW($B$1219)&amp;"][ReceivingInstallationType]",Submission!$O:$O,Submission!$H:$N,""))</f>
        <v>24 - Production of pig iron or steel as specified in Annex I of Directive 2003/87/EC</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Transfer of inherent CO2 (Article 48)</v>
      </c>
      <c r="D1238" s="72" t="str">
        <f>_xlfn.CONCAT(_xlfn.XLOOKUP("[S05_InherentCarbonTransferredDetail]["&amp;ROW(B1238)-ROW($B$1219)&amp;"][InstallationIdTransferring]",Submission!$O:$O,Submission!$H:$N,""))</f>
        <v>1041</v>
      </c>
      <c r="E1238" s="72" t="str">
        <f>_xlfn.CONCAT(_xlfn.XLOOKUP("[S05_InherentCarbonTransferredDetail]["&amp;ROW(B1238)-ROW($B$1219)&amp;"][InstallationIdReceiving]",Submission!$O:$O,Submission!$H:$N,""))</f>
        <v>1051</v>
      </c>
      <c r="F1238" s="124" t="str">
        <f>_xlfn.CONCAT(_xlfn.XLOOKUP("[S05_InherentCarbonTransferredDetail]["&amp;ROW(B1238)-ROW($B$1219)&amp;"][AmountCO2Transferred]",Submission!$O:$O,Submission!$H:$N,""))</f>
        <v>25122.473</v>
      </c>
      <c r="G1238" s="124" t="str">
        <f>_xlfn.CONCAT(_xlfn.XLOOKUP("[S05_InherentCarbonTransferredDetail]["&amp;ROW(B1238)-ROW($B$1219)&amp;"][InherentCO2Received]",Submission!$O:$O,Submission!$H:$N,""))</f>
        <v>25122.473</v>
      </c>
      <c r="H1238" s="71" t="str">
        <f>_xlfn.CONCAT(_xlfn.XLOOKUP("[S05_InherentCarbonTransferredDetail]["&amp;ROW(B1238)-ROW($B$1219)&amp;"][ReceivingInstallationType]",Submission!$O:$O,Submission!$H:$N,""))</f>
        <v>24 - Production of pig iron or steel as specified in Annex I of Directive 2003/87/EC</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Transfer of inherent CO2 (Article 48)</v>
      </c>
      <c r="D1239" s="72" t="str">
        <f>_xlfn.CONCAT(_xlfn.XLOOKUP("[S05_InherentCarbonTransferredDetail]["&amp;ROW(B1239)-ROW($B$1219)&amp;"][InstallationIdTransferring]",Submission!$O:$O,Submission!$H:$N,""))</f>
        <v>1041</v>
      </c>
      <c r="E1239" s="72" t="str">
        <f>_xlfn.CONCAT(_xlfn.XLOOKUP("[S05_InherentCarbonTransferredDetail]["&amp;ROW(B1239)-ROW($B$1219)&amp;"][InstallationIdReceiving]",Submission!$O:$O,Submission!$H:$N,""))</f>
        <v>1064</v>
      </c>
      <c r="F1239" s="124" t="str">
        <f>_xlfn.CONCAT(_xlfn.XLOOKUP("[S05_InherentCarbonTransferredDetail]["&amp;ROW(B1239)-ROW($B$1219)&amp;"][AmountCO2Transferred]",Submission!$O:$O,Submission!$H:$N,""))</f>
        <v>1310.061</v>
      </c>
      <c r="G1239" s="124" t="str">
        <f>_xlfn.CONCAT(_xlfn.XLOOKUP("[S05_InherentCarbonTransferredDetail]["&amp;ROW(B1239)-ROW($B$1219)&amp;"][InherentCO2Received]",Submission!$O:$O,Submission!$H:$N,""))</f>
        <v>1310.061</v>
      </c>
      <c r="H1239" s="71" t="str">
        <f>_xlfn.CONCAT(_xlfn.XLOOKUP("[S05_InherentCarbonTransferredDetail]["&amp;ROW(B1239)-ROW($B$1219)&amp;"][ReceivingInstallationType]",Submission!$O:$O,Submission!$H:$N,""))</f>
        <v>24 - Production of pig iron or steel as specified in Annex I of Directive 2003/87/EC</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Transfer of inherent CO2 (Article 48)</v>
      </c>
      <c r="D1240" s="72" t="str">
        <f>_xlfn.CONCAT(_xlfn.XLOOKUP("[S05_InherentCarbonTransferredDetail]["&amp;ROW(B1240)-ROW($B$1219)&amp;"][InstallationIdTransferring]",Submission!$O:$O,Submission!$H:$N,""))</f>
        <v>1041</v>
      </c>
      <c r="E1240" s="72" t="str">
        <f>_xlfn.CONCAT(_xlfn.XLOOKUP("[S05_InherentCarbonTransferredDetail]["&amp;ROW(B1240)-ROW($B$1219)&amp;"][InstallationIdReceiving]",Submission!$O:$O,Submission!$H:$N,""))</f>
        <v>1073</v>
      </c>
      <c r="F1240" s="124" t="str">
        <f>_xlfn.CONCAT(_xlfn.XLOOKUP("[S05_InherentCarbonTransferredDetail]["&amp;ROW(B1240)-ROW($B$1219)&amp;"][AmountCO2Transferred]",Submission!$O:$O,Submission!$H:$N,""))</f>
        <v>111376.585</v>
      </c>
      <c r="G1240" s="124" t="str">
        <f>_xlfn.CONCAT(_xlfn.XLOOKUP("[S05_InherentCarbonTransferredDetail]["&amp;ROW(B1240)-ROW($B$1219)&amp;"][InherentCO2Received]",Submission!$O:$O,Submission!$H:$N,""))</f>
        <v>111376.585</v>
      </c>
      <c r="H1240" s="71" t="str">
        <f>_xlfn.CONCAT(_xlfn.XLOOKUP("[S05_InherentCarbonTransferredDetail]["&amp;ROW(B1240)-ROW($B$1219)&amp;"][ReceivingInstallationType]",Submission!$O:$O,Submission!$H:$N,""))</f>
        <v>25 - Production or processing of ferrous metals as specified in Annex I of Directive 2003/87/EC</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Transfer of inherent CO2 (Article 48)</v>
      </c>
      <c r="D1241" s="72" t="str">
        <f>_xlfn.CONCAT(_xlfn.XLOOKUP("[S05_InherentCarbonTransferredDetail]["&amp;ROW(B1241)-ROW($B$1219)&amp;"][InstallationIdTransferring]",Submission!$O:$O,Submission!$H:$N,""))</f>
        <v>1041</v>
      </c>
      <c r="E1241" s="72" t="str">
        <f>_xlfn.CONCAT(_xlfn.XLOOKUP("[S05_InherentCarbonTransferredDetail]["&amp;ROW(B1241)-ROW($B$1219)&amp;"][InstallationIdReceiving]",Submission!$O:$O,Submission!$H:$N,""))</f>
        <v>1075</v>
      </c>
      <c r="F1241" s="124" t="str">
        <f>_xlfn.CONCAT(_xlfn.XLOOKUP("[S05_InherentCarbonTransferredDetail]["&amp;ROW(B1241)-ROW($B$1219)&amp;"][AmountCO2Transferred]",Submission!$O:$O,Submission!$H:$N,""))</f>
        <v>924.459</v>
      </c>
      <c r="G1241" s="124" t="str">
        <f>_xlfn.CONCAT(_xlfn.XLOOKUP("[S05_InherentCarbonTransferredDetail]["&amp;ROW(B1241)-ROW($B$1219)&amp;"][InherentCO2Received]",Submission!$O:$O,Submission!$H:$N,""))</f>
        <v>924.459</v>
      </c>
      <c r="H1241" s="71" t="str">
        <f>_xlfn.CONCAT(_xlfn.XLOOKUP("[S05_InherentCarbonTransferredDetail]["&amp;ROW(B1241)-ROW($B$1219)&amp;"][ReceivingInstallationType]",Submission!$O:$O,Submission!$H:$N,""))</f>
        <v>25 - Production or processing of ferrous metals as specified in Annex I of Directive 2003/87/EC</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Transfer of inherent CO2 (Article 48)</v>
      </c>
      <c r="D1242" s="72" t="str">
        <f>_xlfn.CONCAT(_xlfn.XLOOKUP("[S05_InherentCarbonTransferredDetail]["&amp;ROW(B1242)-ROW($B$1219)&amp;"][InstallationIdTransferring]",Submission!$O:$O,Submission!$H:$N,""))</f>
        <v>1041</v>
      </c>
      <c r="E1242" s="72" t="str">
        <f>_xlfn.CONCAT(_xlfn.XLOOKUP("[S05_InherentCarbonTransferredDetail]["&amp;ROW(B1242)-ROW($B$1219)&amp;"][InstallationIdReceiving]",Submission!$O:$O,Submission!$H:$N,""))</f>
        <v>1131</v>
      </c>
      <c r="F1242" s="124" t="str">
        <f>_xlfn.CONCAT(_xlfn.XLOOKUP("[S05_InherentCarbonTransferredDetail]["&amp;ROW(B1242)-ROW($B$1219)&amp;"][AmountCO2Transferred]",Submission!$O:$O,Submission!$H:$N,""))</f>
        <v>10074.949</v>
      </c>
      <c r="G1242" s="124" t="str">
        <f>_xlfn.CONCAT(_xlfn.XLOOKUP("[S05_InherentCarbonTransferredDetail]["&amp;ROW(B1242)-ROW($B$1219)&amp;"][InherentCO2Received]",Submission!$O:$O,Submission!$H:$N,""))</f>
        <v>10074.949</v>
      </c>
      <c r="H1242" s="71" t="str">
        <f>_xlfn.CONCAT(_xlfn.XLOOKUP("[S05_InherentCarbonTransferredDetail]["&amp;ROW(B1242)-ROW($B$1219)&amp;"][ReceivingInstallationType]",Submission!$O:$O,Submission!$H:$N,""))</f>
        <v>25 - Production or processing of ferrous metals as specified in Annex I of Directive 2003/87/EC</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Transfer of inherent CO2 (Article 48)</v>
      </c>
      <c r="D1243" s="72" t="str">
        <f>_xlfn.CONCAT(_xlfn.XLOOKUP("[S05_InherentCarbonTransferredDetail]["&amp;ROW(B1243)-ROW($B$1219)&amp;"][InstallationIdTransferring]",Submission!$O:$O,Submission!$H:$N,""))</f>
        <v>1041</v>
      </c>
      <c r="E1243" s="72" t="str">
        <f>_xlfn.CONCAT(_xlfn.XLOOKUP("[S05_InherentCarbonTransferredDetail]["&amp;ROW(B1243)-ROW($B$1219)&amp;"][InstallationIdReceiving]",Submission!$O:$O,Submission!$H:$N,""))</f>
        <v>1138</v>
      </c>
      <c r="F1243" s="124" t="str">
        <f>_xlfn.CONCAT(_xlfn.XLOOKUP("[S05_InherentCarbonTransferredDetail]["&amp;ROW(B1243)-ROW($B$1219)&amp;"][AmountCO2Transferred]",Submission!$O:$O,Submission!$H:$N,""))</f>
        <v>31485.342</v>
      </c>
      <c r="G1243" s="124" t="str">
        <f>_xlfn.CONCAT(_xlfn.XLOOKUP("[S05_InherentCarbonTransferredDetail]["&amp;ROW(B1243)-ROW($B$1219)&amp;"][InherentCO2Received]",Submission!$O:$O,Submission!$H:$N,""))</f>
        <v>31485.342</v>
      </c>
      <c r="H1243" s="71" t="str">
        <f>_xlfn.CONCAT(_xlfn.XLOOKUP("[S05_InherentCarbonTransferredDetail]["&amp;ROW(B1243)-ROW($B$1219)&amp;"][ReceivingInstallationType]",Submission!$O:$O,Submission!$H:$N,""))</f>
        <v>25 - Production or processing of ferrous metals as specified in Annex I of Directive 2003/87/EC</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Transfer of inherent CO2 (Article 48)</v>
      </c>
      <c r="D1244" s="72" t="str">
        <f>_xlfn.CONCAT(_xlfn.XLOOKUP("[S05_InherentCarbonTransferredDetail]["&amp;ROW(B1244)-ROW($B$1219)&amp;"][InstallationIdTransferring]",Submission!$O:$O,Submission!$H:$N,""))</f>
        <v>1041</v>
      </c>
      <c r="E1244" s="72" t="str">
        <f>_xlfn.CONCAT(_xlfn.XLOOKUP("[S05_InherentCarbonTransferredDetail]["&amp;ROW(B1244)-ROW($B$1219)&amp;"][InstallationIdReceiving]",Submission!$O:$O,Submission!$H:$N,""))</f>
        <v>1151</v>
      </c>
      <c r="F1244" s="124" t="str">
        <f>_xlfn.CONCAT(_xlfn.XLOOKUP("[S05_InherentCarbonTransferredDetail]["&amp;ROW(B1244)-ROW($B$1219)&amp;"][AmountCO2Transferred]",Submission!$O:$O,Submission!$H:$N,""))</f>
        <v>8745.585</v>
      </c>
      <c r="G1244" s="124" t="str">
        <f>_xlfn.CONCAT(_xlfn.XLOOKUP("[S05_InherentCarbonTransferredDetail]["&amp;ROW(B1244)-ROW($B$1219)&amp;"][InherentCO2Received]",Submission!$O:$O,Submission!$H:$N,""))</f>
        <v>8745.585</v>
      </c>
      <c r="H1244" s="71" t="str">
        <f>_xlfn.CONCAT(_xlfn.XLOOKUP("[S05_InherentCarbonTransferredDetail]["&amp;ROW(B1244)-ROW($B$1219)&amp;"][ReceivingInstallationType]",Submission!$O:$O,Submission!$H:$N,""))</f>
        <v>25 - Production or processing of ferrous metals as specified in Annex I of Directive 2003/87/EC</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Transfer of inherent CO2 (Article 48)</v>
      </c>
      <c r="D1245" s="72" t="str">
        <f>_xlfn.CONCAT(_xlfn.XLOOKUP("[S05_InherentCarbonTransferredDetail]["&amp;ROW(B1245)-ROW($B$1219)&amp;"][InstallationIdTransferring]",Submission!$O:$O,Submission!$H:$N,""))</f>
        <v>1041</v>
      </c>
      <c r="E1245" s="72" t="str">
        <f>_xlfn.CONCAT(_xlfn.XLOOKUP("[S05_InherentCarbonTransferredDetail]["&amp;ROW(B1245)-ROW($B$1219)&amp;"][InstallationIdReceiving]",Submission!$O:$O,Submission!$H:$N,""))</f>
        <v>1152</v>
      </c>
      <c r="F1245" s="124" t="str">
        <f>_xlfn.CONCAT(_xlfn.XLOOKUP("[S05_InherentCarbonTransferredDetail]["&amp;ROW(B1245)-ROW($B$1219)&amp;"][AmountCO2Transferred]",Submission!$O:$O,Submission!$H:$N,""))</f>
        <v>59.23</v>
      </c>
      <c r="G1245" s="124" t="str">
        <f>_xlfn.CONCAT(_xlfn.XLOOKUP("[S05_InherentCarbonTransferredDetail]["&amp;ROW(B1245)-ROW($B$1219)&amp;"][InherentCO2Received]",Submission!$O:$O,Submission!$H:$N,""))</f>
        <v>59.23</v>
      </c>
      <c r="H1245" s="71" t="str">
        <f>_xlfn.CONCAT(_xlfn.XLOOKUP("[S05_InherentCarbonTransferredDetail]["&amp;ROW(B1245)-ROW($B$1219)&amp;"][ReceivingInstallationType]",Submission!$O:$O,Submission!$H:$N,""))</f>
        <v>25 - Production or processing of ferrous metals as specified in Annex I of Directive 2003/87/EC</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Transfer of inherent CO2 (Article 48)</v>
      </c>
      <c r="D1246" s="72" t="str">
        <f>_xlfn.CONCAT(_xlfn.XLOOKUP("[S05_InherentCarbonTransferredDetail]["&amp;ROW(B1246)-ROW($B$1219)&amp;"][InstallationIdTransferring]",Submission!$O:$O,Submission!$H:$N,""))</f>
        <v>1041</v>
      </c>
      <c r="E1246" s="72" t="str">
        <f>_xlfn.CONCAT(_xlfn.XLOOKUP("[S05_InherentCarbonTransferredDetail]["&amp;ROW(B1246)-ROW($B$1219)&amp;"][InstallationIdReceiving]",Submission!$O:$O,Submission!$H:$N,""))</f>
        <v>1158</v>
      </c>
      <c r="F1246" s="124" t="str">
        <f>_xlfn.CONCAT(_xlfn.XLOOKUP("[S05_InherentCarbonTransferredDetail]["&amp;ROW(B1246)-ROW($B$1219)&amp;"][AmountCO2Transferred]",Submission!$O:$O,Submission!$H:$N,""))</f>
        <v>1416.389</v>
      </c>
      <c r="G1246" s="124" t="str">
        <f>_xlfn.CONCAT(_xlfn.XLOOKUP("[S05_InherentCarbonTransferredDetail]["&amp;ROW(B1246)-ROW($B$1219)&amp;"][InherentCO2Received]",Submission!$O:$O,Submission!$H:$N,""))</f>
        <v>1416.389</v>
      </c>
      <c r="H1246" s="71" t="str">
        <f>_xlfn.CONCAT(_xlfn.XLOOKUP("[S05_InherentCarbonTransferredDetail]["&amp;ROW(B1246)-ROW($B$1219)&amp;"][ReceivingInstallationType]",Submission!$O:$O,Submission!$H:$N,""))</f>
        <v>25 - Production or processing of ferrous metals as specified in Annex I of Directive 2003/87/EC</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Transfer of inherent CO2 (Article 48)</v>
      </c>
      <c r="D1247" s="72" t="str">
        <f>_xlfn.CONCAT(_xlfn.XLOOKUP("[S05_InherentCarbonTransferredDetail]["&amp;ROW(B1247)-ROW($B$1219)&amp;"][InstallationIdTransferring]",Submission!$O:$O,Submission!$H:$N,""))</f>
        <v>1041</v>
      </c>
      <c r="E1247" s="72" t="str">
        <f>_xlfn.CONCAT(_xlfn.XLOOKUP("[S05_InherentCarbonTransferredDetail]["&amp;ROW(B1247)-ROW($B$1219)&amp;"][InstallationIdReceiving]",Submission!$O:$O,Submission!$H:$N,""))</f>
        <v>1817</v>
      </c>
      <c r="F1247" s="124" t="str">
        <f>_xlfn.CONCAT(_xlfn.XLOOKUP("[S05_InherentCarbonTransferredDetail]["&amp;ROW(B1247)-ROW($B$1219)&amp;"][AmountCO2Transferred]",Submission!$O:$O,Submission!$H:$N,""))</f>
        <v>201.418</v>
      </c>
      <c r="G1247" s="124" t="str">
        <f>_xlfn.CONCAT(_xlfn.XLOOKUP("[S05_InherentCarbonTransferredDetail]["&amp;ROW(B1247)-ROW($B$1219)&amp;"][InherentCO2Received]",Submission!$O:$O,Submission!$H:$N,""))</f>
        <v>201.418</v>
      </c>
      <c r="H1247" s="71" t="str">
        <f>_xlfn.CONCAT(_xlfn.XLOOKUP("[S05_InherentCarbonTransferredDetail]["&amp;ROW(B1247)-ROW($B$1219)&amp;"][ReceivingInstallationType]",Submission!$O:$O,Submission!$H:$N,""))</f>
        <v>20 - Combustion of fuels as specified in Annex I of Directive 2003/87/EC</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Transfer of inherent CO2 (Article 48)</v>
      </c>
      <c r="D1248" s="72" t="str">
        <f>_xlfn.CONCAT(_xlfn.XLOOKUP("[S05_InherentCarbonTransferredDetail]["&amp;ROW(B1248)-ROW($B$1219)&amp;"][InstallationIdTransferring]",Submission!$O:$O,Submission!$H:$N,""))</f>
        <v>1041</v>
      </c>
      <c r="E1248" s="72" t="str">
        <f>_xlfn.CONCAT(_xlfn.XLOOKUP("[S05_InherentCarbonTransferredDetail]["&amp;ROW(B1248)-ROW($B$1219)&amp;"][InstallationIdReceiving]",Submission!$O:$O,Submission!$H:$N,""))</f>
        <v>1843</v>
      </c>
      <c r="F1248" s="124" t="str">
        <f>_xlfn.CONCAT(_xlfn.XLOOKUP("[S05_InherentCarbonTransferredDetail]["&amp;ROW(B1248)-ROW($B$1219)&amp;"][AmountCO2Transferred]",Submission!$O:$O,Submission!$H:$N,""))</f>
        <v>395.517</v>
      </c>
      <c r="G1248" s="124" t="str">
        <f>_xlfn.CONCAT(_xlfn.XLOOKUP("[S05_InherentCarbonTransferredDetail]["&amp;ROW(B1248)-ROW($B$1219)&amp;"][InherentCO2Received]",Submission!$O:$O,Submission!$H:$N,""))</f>
        <v>395.517</v>
      </c>
      <c r="H1248" s="71" t="str">
        <f>_xlfn.CONCAT(_xlfn.XLOOKUP("[S05_InherentCarbonTransferredDetail]["&amp;ROW(B1248)-ROW($B$1219)&amp;"][ReceivingInstallationType]",Submission!$O:$O,Submission!$H:$N,""))</f>
        <v>20 - Combustion of fuels as specified in Annex I of Directive 2003/87/EC</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Transfer of inherent CO2 (Article 48)</v>
      </c>
      <c r="D1249" s="72" t="str">
        <f>_xlfn.CONCAT(_xlfn.XLOOKUP("[S05_InherentCarbonTransferredDetail]["&amp;ROW(B1249)-ROW($B$1219)&amp;"][InstallationIdTransferring]",Submission!$O:$O,Submission!$H:$N,""))</f>
        <v>1041</v>
      </c>
      <c r="E1249" s="72" t="str">
        <f>_xlfn.CONCAT(_xlfn.XLOOKUP("[S05_InherentCarbonTransferredDetail]["&amp;ROW(B1249)-ROW($B$1219)&amp;"][InstallationIdReceiving]",Submission!$O:$O,Submission!$H:$N,""))</f>
        <v>1929</v>
      </c>
      <c r="F1249" s="124" t="str">
        <f>_xlfn.CONCAT(_xlfn.XLOOKUP("[S05_InherentCarbonTransferredDetail]["&amp;ROW(B1249)-ROW($B$1219)&amp;"][AmountCO2Transferred]",Submission!$O:$O,Submission!$H:$N,""))</f>
        <v>9847.605</v>
      </c>
      <c r="G1249" s="124" t="str">
        <f>_xlfn.CONCAT(_xlfn.XLOOKUP("[S05_InherentCarbonTransferredDetail]["&amp;ROW(B1249)-ROW($B$1219)&amp;"][InherentCO2Received]",Submission!$O:$O,Submission!$H:$N,""))</f>
        <v>9847.605</v>
      </c>
      <c r="H1249" s="71" t="str">
        <f>_xlfn.CONCAT(_xlfn.XLOOKUP("[S05_InherentCarbonTransferredDetail]["&amp;ROW(B1249)-ROW($B$1219)&amp;"][ReceivingInstallationType]",Submission!$O:$O,Submission!$H:$N,""))</f>
        <v>20 - Combustion of fuels as specified in Annex I of Directive 2003/87/EC</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Transfer of inherent CO2 (Article 48)</v>
      </c>
      <c r="D1250" s="72" t="str">
        <f>_xlfn.CONCAT(_xlfn.XLOOKUP("[S05_InherentCarbonTransferredDetail]["&amp;ROW(B1250)-ROW($B$1219)&amp;"][InstallationIdTransferring]",Submission!$O:$O,Submission!$H:$N,""))</f>
        <v>1041</v>
      </c>
      <c r="E1250" s="72" t="str">
        <f>_xlfn.CONCAT(_xlfn.XLOOKUP("[S05_InherentCarbonTransferredDetail]["&amp;ROW(B1250)-ROW($B$1219)&amp;"][InstallationIdReceiving]",Submission!$O:$O,Submission!$H:$N,""))</f>
        <v>1988</v>
      </c>
      <c r="F1250" s="124" t="str">
        <f>_xlfn.CONCAT(_xlfn.XLOOKUP("[S05_InherentCarbonTransferredDetail]["&amp;ROW(B1250)-ROW($B$1219)&amp;"][AmountCO2Transferred]",Submission!$O:$O,Submission!$H:$N,""))</f>
        <v>8103.967</v>
      </c>
      <c r="G1250" s="124" t="str">
        <f>_xlfn.CONCAT(_xlfn.XLOOKUP("[S05_InherentCarbonTransferredDetail]["&amp;ROW(B1250)-ROW($B$1219)&amp;"][InherentCO2Received]",Submission!$O:$O,Submission!$H:$N,""))</f>
        <v>8103.967</v>
      </c>
      <c r="H1250" s="71" t="str">
        <f>_xlfn.CONCAT(_xlfn.XLOOKUP("[S05_InherentCarbonTransferredDetail]["&amp;ROW(B1250)-ROW($B$1219)&amp;"][ReceivingInstallationType]",Submission!$O:$O,Submission!$H:$N,""))</f>
        <v>20 - Combustion of fuels as specified in Annex I of Directive 2003/87/EC</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Transfer of inherent CO2 (Article 48)</v>
      </c>
      <c r="D1251" s="72" t="str">
        <f>_xlfn.CONCAT(_xlfn.XLOOKUP("[S05_InherentCarbonTransferredDetail]["&amp;ROW(B1251)-ROW($B$1219)&amp;"][InstallationIdTransferring]",Submission!$O:$O,Submission!$H:$N,""))</f>
        <v>1041</v>
      </c>
      <c r="E1251" s="72" t="str">
        <f>_xlfn.CONCAT(_xlfn.XLOOKUP("[S05_InherentCarbonTransferredDetail]["&amp;ROW(B1251)-ROW($B$1219)&amp;"][InstallationIdReceiving]",Submission!$O:$O,Submission!$H:$N,""))</f>
        <v>2165</v>
      </c>
      <c r="F1251" s="124" t="str">
        <f>_xlfn.CONCAT(_xlfn.XLOOKUP("[S05_InherentCarbonTransferredDetail]["&amp;ROW(B1251)-ROW($B$1219)&amp;"][AmountCO2Transferred]",Submission!$O:$O,Submission!$H:$N,""))</f>
        <v>332.91</v>
      </c>
      <c r="G1251" s="124" t="str">
        <f>_xlfn.CONCAT(_xlfn.XLOOKUP("[S05_InherentCarbonTransferredDetail]["&amp;ROW(B1251)-ROW($B$1219)&amp;"][InherentCO2Received]",Submission!$O:$O,Submission!$H:$N,""))</f>
        <v>332.91</v>
      </c>
      <c r="H1251" s="71" t="str">
        <f>_xlfn.CONCAT(_xlfn.XLOOKUP("[S05_InherentCarbonTransferredDetail]["&amp;ROW(B1251)-ROW($B$1219)&amp;"][ReceivingInstallationType]",Submission!$O:$O,Submission!$H:$N,""))</f>
        <v>20 - Combustion of fuels as specified in Annex I of Directive 2003/87/EC</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Transfer of inherent CO2 (Article 48)</v>
      </c>
      <c r="D1252" s="72" t="str">
        <f>_xlfn.CONCAT(_xlfn.XLOOKUP("[S05_InherentCarbonTransferredDetail]["&amp;ROW(B1252)-ROW($B$1219)&amp;"][InstallationIdTransferring]",Submission!$O:$O,Submission!$H:$N,""))</f>
        <v>1041</v>
      </c>
      <c r="E1252" s="72" t="str">
        <f>_xlfn.CONCAT(_xlfn.XLOOKUP("[S05_InherentCarbonTransferredDetail]["&amp;ROW(B1252)-ROW($B$1219)&amp;"][InstallationIdReceiving]",Submission!$O:$O,Submission!$H:$N,""))</f>
        <v>2519</v>
      </c>
      <c r="F1252" s="124" t="str">
        <f>_xlfn.CONCAT(_xlfn.XLOOKUP("[S05_InherentCarbonTransferredDetail]["&amp;ROW(B1252)-ROW($B$1219)&amp;"][AmountCO2Transferred]",Submission!$O:$O,Submission!$H:$N,""))</f>
        <v>46187.37</v>
      </c>
      <c r="G1252" s="124" t="str">
        <f>_xlfn.CONCAT(_xlfn.XLOOKUP("[S05_InherentCarbonTransferredDetail]["&amp;ROW(B1252)-ROW($B$1219)&amp;"][InherentCO2Received]",Submission!$O:$O,Submission!$H:$N,""))</f>
        <v>46187.37</v>
      </c>
      <c r="H1252" s="71" t="str">
        <f>_xlfn.CONCAT(_xlfn.XLOOKUP("[S05_InherentCarbonTransferredDetail]["&amp;ROW(B1252)-ROW($B$1219)&amp;"][ReceivingInstallationType]",Submission!$O:$O,Submission!$H:$N,""))</f>
        <v>20 - Combustion of fuels as specified in Annex I of Directive 2003/87/EC</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Transfer of inherent CO2 (Article 48)</v>
      </c>
      <c r="D1253" s="72" t="str">
        <f>_xlfn.CONCAT(_xlfn.XLOOKUP("[S05_InherentCarbonTransferredDetail]["&amp;ROW(B1253)-ROW($B$1219)&amp;"][InstallationIdTransferring]",Submission!$O:$O,Submission!$H:$N,""))</f>
        <v>1044</v>
      </c>
      <c r="E1253" s="72" t="str">
        <f>_xlfn.CONCAT(_xlfn.XLOOKUP("[S05_InherentCarbonTransferredDetail]["&amp;ROW(B1253)-ROW($B$1219)&amp;"][InstallationIdReceiving]",Submission!$O:$O,Submission!$H:$N,""))</f>
        <v>1041</v>
      </c>
      <c r="F1253" s="124" t="str">
        <f>_xlfn.CONCAT(_xlfn.XLOOKUP("[S05_InherentCarbonTransferredDetail]["&amp;ROW(B1253)-ROW($B$1219)&amp;"][AmountCO2Transferred]",Submission!$O:$O,Submission!$H:$N,""))</f>
        <v>972248.7</v>
      </c>
      <c r="G1253" s="124" t="str">
        <f>_xlfn.CONCAT(_xlfn.XLOOKUP("[S05_InherentCarbonTransferredDetail]["&amp;ROW(B1253)-ROW($B$1219)&amp;"][InherentCO2Received]",Submission!$O:$O,Submission!$H:$N,""))</f>
        <v>972248.689</v>
      </c>
      <c r="H1253" s="71" t="str">
        <f>_xlfn.CONCAT(_xlfn.XLOOKUP("[S05_InherentCarbonTransferredDetail]["&amp;ROW(B1253)-ROW($B$1219)&amp;"][ReceivingInstallationType]",Submission!$O:$O,Submission!$H:$N,""))</f>
        <v xml:space="preserve">22 - Production of coke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Transfer of inherent CO2 (Article 48)</v>
      </c>
      <c r="D1254" s="72" t="str">
        <f>_xlfn.CONCAT(_xlfn.XLOOKUP("[S05_InherentCarbonTransferredDetail]["&amp;ROW(B1254)-ROW($B$1219)&amp;"][InstallationIdTransferring]",Submission!$O:$O,Submission!$H:$N,""))</f>
        <v>1044</v>
      </c>
      <c r="E1254" s="72" t="str">
        <f>_xlfn.CONCAT(_xlfn.XLOOKUP("[S05_InherentCarbonTransferredDetail]["&amp;ROW(B1254)-ROW($B$1219)&amp;"][InstallationIdReceiving]",Submission!$O:$O,Submission!$H:$N,""))</f>
        <v>1048</v>
      </c>
      <c r="F1254" s="124" t="str">
        <f>_xlfn.CONCAT(_xlfn.XLOOKUP("[S05_InherentCarbonTransferredDetail]["&amp;ROW(B1254)-ROW($B$1219)&amp;"][AmountCO2Transferred]",Submission!$O:$O,Submission!$H:$N,""))</f>
        <v>19407.382</v>
      </c>
      <c r="G1254" s="124" t="str">
        <f>_xlfn.CONCAT(_xlfn.XLOOKUP("[S05_InherentCarbonTransferredDetail]["&amp;ROW(B1254)-ROW($B$1219)&amp;"][InherentCO2Received]",Submission!$O:$O,Submission!$H:$N,""))</f>
        <v>19407.382</v>
      </c>
      <c r="H1254" s="71" t="str">
        <f>_xlfn.CONCAT(_xlfn.XLOOKUP("[S05_InherentCarbonTransferredDetail]["&amp;ROW(B1254)-ROW($B$1219)&amp;"][ReceivingInstallationType]",Submission!$O:$O,Submission!$H:$N,""))</f>
        <v>24 - Production of pig iron or steel as specified in Annex I of Directive 2003/87/EC</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Transfer of inherent CO2 (Article 48)</v>
      </c>
      <c r="D1255" s="72" t="str">
        <f>_xlfn.CONCAT(_xlfn.XLOOKUP("[S05_InherentCarbonTransferredDetail]["&amp;ROW(B1255)-ROW($B$1219)&amp;"][InstallationIdTransferring]",Submission!$O:$O,Submission!$H:$N,""))</f>
        <v>1044</v>
      </c>
      <c r="E1255" s="72" t="str">
        <f>_xlfn.CONCAT(_xlfn.XLOOKUP("[S05_InherentCarbonTransferredDetail]["&amp;ROW(B1255)-ROW($B$1219)&amp;"][InstallationIdReceiving]",Submission!$O:$O,Submission!$H:$N,""))</f>
        <v>1073</v>
      </c>
      <c r="F1255" s="124" t="str">
        <f>_xlfn.CONCAT(_xlfn.XLOOKUP("[S05_InherentCarbonTransferredDetail]["&amp;ROW(B1255)-ROW($B$1219)&amp;"][AmountCO2Transferred]",Submission!$O:$O,Submission!$H:$N,""))</f>
        <v>119903.277</v>
      </c>
      <c r="G1255" s="124" t="str">
        <f>_xlfn.CONCAT(_xlfn.XLOOKUP("[S05_InherentCarbonTransferredDetail]["&amp;ROW(B1255)-ROW($B$1219)&amp;"][InherentCO2Received]",Submission!$O:$O,Submission!$H:$N,""))</f>
        <v>119903.277</v>
      </c>
      <c r="H1255" s="71" t="str">
        <f>_xlfn.CONCAT(_xlfn.XLOOKUP("[S05_InherentCarbonTransferredDetail]["&amp;ROW(B1255)-ROW($B$1219)&amp;"][ReceivingInstallationType]",Submission!$O:$O,Submission!$H:$N,""))</f>
        <v>25 - Production or processing of ferrous metals as specified in Annex I of Directive 2003/87/EC</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Transfer of inherent CO2 (Article 48)</v>
      </c>
      <c r="D1256" s="72" t="str">
        <f>_xlfn.CONCAT(_xlfn.XLOOKUP("[S05_InherentCarbonTransferredDetail]["&amp;ROW(B1256)-ROW($B$1219)&amp;"][InstallationIdTransferring]",Submission!$O:$O,Submission!$H:$N,""))</f>
        <v>1044</v>
      </c>
      <c r="E1256" s="72" t="str">
        <f>_xlfn.CONCAT(_xlfn.XLOOKUP("[S05_InherentCarbonTransferredDetail]["&amp;ROW(B1256)-ROW($B$1219)&amp;"][InstallationIdReceiving]",Submission!$O:$O,Submission!$H:$N,""))</f>
        <v>1151</v>
      </c>
      <c r="F1256" s="124" t="str">
        <f>_xlfn.CONCAT(_xlfn.XLOOKUP("[S05_InherentCarbonTransferredDetail]["&amp;ROW(B1256)-ROW($B$1219)&amp;"][AmountCO2Transferred]",Submission!$O:$O,Submission!$H:$N,""))</f>
        <v>42059.897</v>
      </c>
      <c r="G1256" s="124" t="str">
        <f>_xlfn.CONCAT(_xlfn.XLOOKUP("[S05_InherentCarbonTransferredDetail]["&amp;ROW(B1256)-ROW($B$1219)&amp;"][InherentCO2Received]",Submission!$O:$O,Submission!$H:$N,""))</f>
        <v>42059.897</v>
      </c>
      <c r="H1256" s="71" t="str">
        <f>_xlfn.CONCAT(_xlfn.XLOOKUP("[S05_InherentCarbonTransferredDetail]["&amp;ROW(B1256)-ROW($B$1219)&amp;"][ReceivingInstallationType]",Submission!$O:$O,Submission!$H:$N,""))</f>
        <v>25 - Production or processing of ferrous metals as specified in Annex I of Directive 2003/87/EC</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Transfer of inherent CO2 (Article 48)</v>
      </c>
      <c r="D1257" s="72" t="str">
        <f>_xlfn.CONCAT(_xlfn.XLOOKUP("[S05_InherentCarbonTransferredDetail]["&amp;ROW(B1257)-ROW($B$1219)&amp;"][InstallationIdTransferring]",Submission!$O:$O,Submission!$H:$N,""))</f>
        <v>1044</v>
      </c>
      <c r="E1257" s="72" t="str">
        <f>_xlfn.CONCAT(_xlfn.XLOOKUP("[S05_InherentCarbonTransferredDetail]["&amp;ROW(B1257)-ROW($B$1219)&amp;"][InstallationIdReceiving]",Submission!$O:$O,Submission!$H:$N,""))</f>
        <v>1152</v>
      </c>
      <c r="F1257" s="124" t="str">
        <f>_xlfn.CONCAT(_xlfn.XLOOKUP("[S05_InherentCarbonTransferredDetail]["&amp;ROW(B1257)-ROW($B$1219)&amp;"][AmountCO2Transferred]",Submission!$O:$O,Submission!$H:$N,""))</f>
        <v>1.86</v>
      </c>
      <c r="G1257" s="124" t="str">
        <f>_xlfn.CONCAT(_xlfn.XLOOKUP("[S05_InherentCarbonTransferredDetail]["&amp;ROW(B1257)-ROW($B$1219)&amp;"][InherentCO2Received]",Submission!$O:$O,Submission!$H:$N,""))</f>
        <v>1.86</v>
      </c>
      <c r="H1257" s="71" t="str">
        <f>_xlfn.CONCAT(_xlfn.XLOOKUP("[S05_InherentCarbonTransferredDetail]["&amp;ROW(B1257)-ROW($B$1219)&amp;"][ReceivingInstallationType]",Submission!$O:$O,Submission!$H:$N,""))</f>
        <v>25 - Production or processing of ferrous metals as specified in Annex I of Directive 2003/87/EC</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Transfer of inherent CO2 (Article 48)</v>
      </c>
      <c r="D1258" s="72" t="str">
        <f>_xlfn.CONCAT(_xlfn.XLOOKUP("[S05_InherentCarbonTransferredDetail]["&amp;ROW(B1258)-ROW($B$1219)&amp;"][InstallationIdTransferring]",Submission!$O:$O,Submission!$H:$N,""))</f>
        <v>1044</v>
      </c>
      <c r="E1258" s="72" t="str">
        <f>_xlfn.CONCAT(_xlfn.XLOOKUP("[S05_InherentCarbonTransferredDetail]["&amp;ROW(B1258)-ROW($B$1219)&amp;"][InstallationIdReceiving]",Submission!$O:$O,Submission!$H:$N,""))</f>
        <v>1929</v>
      </c>
      <c r="F1258" s="124" t="str">
        <f>_xlfn.CONCAT(_xlfn.XLOOKUP("[S05_InherentCarbonTransferredDetail]["&amp;ROW(B1258)-ROW($B$1219)&amp;"][AmountCO2Transferred]",Submission!$O:$O,Submission!$H:$N,""))</f>
        <v>88334.905</v>
      </c>
      <c r="G1258" s="124" t="str">
        <f>_xlfn.CONCAT(_xlfn.XLOOKUP("[S05_InherentCarbonTransferredDetail]["&amp;ROW(B1258)-ROW($B$1219)&amp;"][InherentCO2Received]",Submission!$O:$O,Submission!$H:$N,""))</f>
        <v>88334.905</v>
      </c>
      <c r="H1258" s="71" t="str">
        <f>_xlfn.CONCAT(_xlfn.XLOOKUP("[S05_InherentCarbonTransferredDetail]["&amp;ROW(B1258)-ROW($B$1219)&amp;"][ReceivingInstallationType]",Submission!$O:$O,Submission!$H:$N,""))</f>
        <v>20 - Combustion of fuels as specified in Annex I of Directive 2003/87/EC</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Transfer of inherent CO2 (Article 48)</v>
      </c>
      <c r="D1259" s="72" t="str">
        <f>_xlfn.CONCAT(_xlfn.XLOOKUP("[S05_InherentCarbonTransferredDetail]["&amp;ROW(B1259)-ROW($B$1219)&amp;"][InstallationIdTransferring]",Submission!$O:$O,Submission!$H:$N,""))</f>
        <v>1044</v>
      </c>
      <c r="E1259" s="72" t="str">
        <f>_xlfn.CONCAT(_xlfn.XLOOKUP("[S05_InherentCarbonTransferredDetail]["&amp;ROW(B1259)-ROW($B$1219)&amp;"][InstallationIdReceiving]",Submission!$O:$O,Submission!$H:$N,""))</f>
        <v>1988</v>
      </c>
      <c r="F1259" s="124" t="str">
        <f>_xlfn.CONCAT(_xlfn.XLOOKUP("[S05_InherentCarbonTransferredDetail]["&amp;ROW(B1259)-ROW($B$1219)&amp;"][AmountCO2Transferred]",Submission!$O:$O,Submission!$H:$N,""))</f>
        <v>80390.34</v>
      </c>
      <c r="G1259" s="124" t="str">
        <f>_xlfn.CONCAT(_xlfn.XLOOKUP("[S05_InherentCarbonTransferredDetail]["&amp;ROW(B1259)-ROW($B$1219)&amp;"][InherentCO2Received]",Submission!$O:$O,Submission!$H:$N,""))</f>
        <v>80390.34</v>
      </c>
      <c r="H1259" s="71" t="str">
        <f>_xlfn.CONCAT(_xlfn.XLOOKUP("[S05_InherentCarbonTransferredDetail]["&amp;ROW(B1259)-ROW($B$1219)&amp;"][ReceivingInstallationType]",Submission!$O:$O,Submission!$H:$N,""))</f>
        <v>20 - Combustion of fuels as specified in Annex I of Directive 2003/87/EC</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Transfer of inherent CO2 (Article 48)</v>
      </c>
      <c r="D1260" s="72" t="str">
        <f>_xlfn.CONCAT(_xlfn.XLOOKUP("[S05_InherentCarbonTransferredDetail]["&amp;ROW(B1260)-ROW($B$1219)&amp;"][InstallationIdTransferring]",Submission!$O:$O,Submission!$H:$N,""))</f>
        <v>1044</v>
      </c>
      <c r="E1260" s="72" t="str">
        <f>_xlfn.CONCAT(_xlfn.XLOOKUP("[S05_InherentCarbonTransferredDetail]["&amp;ROW(B1260)-ROW($B$1219)&amp;"][InstallationIdReceiving]",Submission!$O:$O,Submission!$H:$N,""))</f>
        <v>2519</v>
      </c>
      <c r="F1260" s="124" t="str">
        <f>_xlfn.CONCAT(_xlfn.XLOOKUP("[S05_InherentCarbonTransferredDetail]["&amp;ROW(B1260)-ROW($B$1219)&amp;"][AmountCO2Transferred]",Submission!$O:$O,Submission!$H:$N,""))</f>
        <v>1095944.995</v>
      </c>
      <c r="G1260" s="124" t="str">
        <f>_xlfn.CONCAT(_xlfn.XLOOKUP("[S05_InherentCarbonTransferredDetail]["&amp;ROW(B1260)-ROW($B$1219)&amp;"][InherentCO2Received]",Submission!$O:$O,Submission!$H:$N,""))</f>
        <v>1095944.995</v>
      </c>
      <c r="H1260" s="71" t="str">
        <f>_xlfn.CONCAT(_xlfn.XLOOKUP("[S05_InherentCarbonTransferredDetail]["&amp;ROW(B1260)-ROW($B$1219)&amp;"][ReceivingInstallationType]",Submission!$O:$O,Submission!$H:$N,""))</f>
        <v>20 - Combustion of fuels as specified in Annex I of Directive 2003/87/EC</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Transfer of inherent CO2 (Article 48)</v>
      </c>
      <c r="D1261" s="72" t="str">
        <f>_xlfn.CONCAT(_xlfn.XLOOKUP("[S05_InherentCarbonTransferredDetail]["&amp;ROW(B1261)-ROW($B$1219)&amp;"][InstallationIdTransferring]",Submission!$O:$O,Submission!$H:$N,""))</f>
        <v>1045</v>
      </c>
      <c r="E1261" s="72" t="str">
        <f>_xlfn.CONCAT(_xlfn.XLOOKUP("[S05_InherentCarbonTransferredDetail]["&amp;ROW(B1261)-ROW($B$1219)&amp;"][InstallationIdReceiving]",Submission!$O:$O,Submission!$H:$N,""))</f>
        <v>2289</v>
      </c>
      <c r="F1261" s="124" t="str">
        <f>_xlfn.CONCAT(_xlfn.XLOOKUP("[S05_InherentCarbonTransferredDetail]["&amp;ROW(B1261)-ROW($B$1219)&amp;"][AmountCO2Transferred]",Submission!$O:$O,Submission!$H:$N,""))</f>
        <v>3141159.822</v>
      </c>
      <c r="G1261" s="124" t="str">
        <f>_xlfn.CONCAT(_xlfn.XLOOKUP("[S05_InherentCarbonTransferredDetail]["&amp;ROW(B1261)-ROW($B$1219)&amp;"][InherentCO2Received]",Submission!$O:$O,Submission!$H:$N,""))</f>
        <v>3141159.822</v>
      </c>
      <c r="H1261" s="71" t="str">
        <f>_xlfn.CONCAT(_xlfn.XLOOKUP("[S05_InherentCarbonTransferredDetail]["&amp;ROW(B1261)-ROW($B$1219)&amp;"][ReceivingInstallationType]",Submission!$O:$O,Submission!$H:$N,""))</f>
        <v>20 - Combustion of fuels as specified in Annex I of Directive 2003/87/EC</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Transfer of inherent CO2 (Article 48)</v>
      </c>
      <c r="D1262" s="72" t="str">
        <f>_xlfn.CONCAT(_xlfn.XLOOKUP("[S05_InherentCarbonTransferredDetail]["&amp;ROW(B1262)-ROW($B$1219)&amp;"][InstallationIdTransferring]",Submission!$O:$O,Submission!$H:$N,""))</f>
        <v>1045</v>
      </c>
      <c r="E1262" s="72" t="str">
        <f>_xlfn.CONCAT(_xlfn.XLOOKUP("[S05_InherentCarbonTransferredDetail]["&amp;ROW(B1262)-ROW($B$1219)&amp;"][InstallationIdReceiving]",Submission!$O:$O,Submission!$H:$N,""))</f>
        <v>2543</v>
      </c>
      <c r="F1262" s="124" t="str">
        <f>_xlfn.CONCAT(_xlfn.XLOOKUP("[S05_InherentCarbonTransferredDetail]["&amp;ROW(B1262)-ROW($B$1219)&amp;"][AmountCO2Transferred]",Submission!$O:$O,Submission!$H:$N,""))</f>
        <v>83920.875</v>
      </c>
      <c r="G1262" s="124" t="str">
        <f>_xlfn.CONCAT(_xlfn.XLOOKUP("[S05_InherentCarbonTransferredDetail]["&amp;ROW(B1262)-ROW($B$1219)&amp;"][InherentCO2Received]",Submission!$O:$O,Submission!$H:$N,""))</f>
        <v>83920.875</v>
      </c>
      <c r="H1262" s="71" t="str">
        <f>_xlfn.CONCAT(_xlfn.XLOOKUP("[S05_InherentCarbonTransferredDetail]["&amp;ROW(B1262)-ROW($B$1219)&amp;"][ReceivingInstallationType]",Submission!$O:$O,Submission!$H:$N,""))</f>
        <v>20 - Combustion of fuels as specified in Annex I of Directive 2003/87/EC</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Transfer of inherent CO2 (Article 48)</v>
      </c>
      <c r="D1263" s="72" t="str">
        <f>_xlfn.CONCAT(_xlfn.XLOOKUP("[S05_InherentCarbonTransferredDetail]["&amp;ROW(B1263)-ROW($B$1219)&amp;"][InstallationIdTransferring]",Submission!$O:$O,Submission!$H:$N,""))</f>
        <v>1051</v>
      </c>
      <c r="E1263" s="72" t="str">
        <f>_xlfn.CONCAT(_xlfn.XLOOKUP("[S05_InherentCarbonTransferredDetail]["&amp;ROW(B1263)-ROW($B$1219)&amp;"][InstallationIdReceiving]",Submission!$O:$O,Submission!$H:$N,""))</f>
        <v>1064</v>
      </c>
      <c r="F1263" s="124" t="str">
        <f>_xlfn.CONCAT(_xlfn.XLOOKUP("[S05_InherentCarbonTransferredDetail]["&amp;ROW(B1263)-ROW($B$1219)&amp;"][AmountCO2Transferred]",Submission!$O:$O,Submission!$H:$N,""))</f>
        <v>3432.568</v>
      </c>
      <c r="G1263" s="124" t="str">
        <f>_xlfn.CONCAT(_xlfn.XLOOKUP("[S05_InherentCarbonTransferredDetail]["&amp;ROW(B1263)-ROW($B$1219)&amp;"][InherentCO2Received]",Submission!$O:$O,Submission!$H:$N,""))</f>
        <v>3432.568</v>
      </c>
      <c r="H1263" s="71" t="str">
        <f>_xlfn.CONCAT(_xlfn.XLOOKUP("[S05_InherentCarbonTransferredDetail]["&amp;ROW(B1263)-ROW($B$1219)&amp;"][ReceivingInstallationType]",Submission!$O:$O,Submission!$H:$N,""))</f>
        <v>24 - Production of pig iron or steel as specified in Annex I of Directive 2003/87/EC</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Transfer of inherent CO2 (Article 48)</v>
      </c>
      <c r="D1264" s="72" t="str">
        <f>_xlfn.CONCAT(_xlfn.XLOOKUP("[S05_InherentCarbonTransferredDetail]["&amp;ROW(B1264)-ROW($B$1219)&amp;"][InstallationIdTransferring]",Submission!$O:$O,Submission!$H:$N,""))</f>
        <v>1051</v>
      </c>
      <c r="E1264" s="72" t="str">
        <f>_xlfn.CONCAT(_xlfn.XLOOKUP("[S05_InherentCarbonTransferredDetail]["&amp;ROW(B1264)-ROW($B$1219)&amp;"][InstallationIdReceiving]",Submission!$O:$O,Submission!$H:$N,""))</f>
        <v>1075</v>
      </c>
      <c r="F1264" s="124" t="str">
        <f>_xlfn.CONCAT(_xlfn.XLOOKUP("[S05_InherentCarbonTransferredDetail]["&amp;ROW(B1264)-ROW($B$1219)&amp;"][AmountCO2Transferred]",Submission!$O:$O,Submission!$H:$N,""))</f>
        <v>137395.527</v>
      </c>
      <c r="G1264" s="124" t="str">
        <f>_xlfn.CONCAT(_xlfn.XLOOKUP("[S05_InherentCarbonTransferredDetail]["&amp;ROW(B1264)-ROW($B$1219)&amp;"][InherentCO2Received]",Submission!$O:$O,Submission!$H:$N,""))</f>
        <v>137394.196</v>
      </c>
      <c r="H1264" s="71" t="str">
        <f>_xlfn.CONCAT(_xlfn.XLOOKUP("[S05_InherentCarbonTransferredDetail]["&amp;ROW(B1264)-ROW($B$1219)&amp;"][ReceivingInstallationType]",Submission!$O:$O,Submission!$H:$N,""))</f>
        <v>25 - Production or processing of ferrous metals as specified in Annex I of Directive 2003/87/EC</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Transfer of inherent CO2 (Article 48)</v>
      </c>
      <c r="D1265" s="72" t="str">
        <f>_xlfn.CONCAT(_xlfn.XLOOKUP("[S05_InherentCarbonTransferredDetail]["&amp;ROW(B1265)-ROW($B$1219)&amp;"][InstallationIdTransferring]",Submission!$O:$O,Submission!$H:$N,""))</f>
        <v>1051</v>
      </c>
      <c r="E1265" s="72" t="str">
        <f>_xlfn.CONCAT(_xlfn.XLOOKUP("[S05_InherentCarbonTransferredDetail]["&amp;ROW(B1265)-ROW($B$1219)&amp;"][InstallationIdReceiving]",Submission!$O:$O,Submission!$H:$N,""))</f>
        <v>1131</v>
      </c>
      <c r="F1265" s="124" t="str">
        <f>_xlfn.CONCAT(_xlfn.XLOOKUP("[S05_InherentCarbonTransferredDetail]["&amp;ROW(B1265)-ROW($B$1219)&amp;"][AmountCO2Transferred]",Submission!$O:$O,Submission!$H:$N,""))</f>
        <v>42070.277</v>
      </c>
      <c r="G1265" s="124" t="str">
        <f>_xlfn.CONCAT(_xlfn.XLOOKUP("[S05_InherentCarbonTransferredDetail]["&amp;ROW(B1265)-ROW($B$1219)&amp;"][InherentCO2Received]",Submission!$O:$O,Submission!$H:$N,""))</f>
        <v>42071.511</v>
      </c>
      <c r="H1265" s="71" t="str">
        <f>_xlfn.CONCAT(_xlfn.XLOOKUP("[S05_InherentCarbonTransferredDetail]["&amp;ROW(B1265)-ROW($B$1219)&amp;"][ReceivingInstallationType]",Submission!$O:$O,Submission!$H:$N,""))</f>
        <v>25 - Production or processing of ferrous metals as specified in Annex I of Directive 2003/87/EC</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Transfer of inherent CO2 (Article 48)</v>
      </c>
      <c r="D1266" s="72" t="str">
        <f>_xlfn.CONCAT(_xlfn.XLOOKUP("[S05_InherentCarbonTransferredDetail]["&amp;ROW(B1266)-ROW($B$1219)&amp;"][InstallationIdTransferring]",Submission!$O:$O,Submission!$H:$N,""))</f>
        <v>1051</v>
      </c>
      <c r="E1266" s="72" t="str">
        <f>_xlfn.CONCAT(_xlfn.XLOOKUP("[S05_InherentCarbonTransferredDetail]["&amp;ROW(B1266)-ROW($B$1219)&amp;"][InstallationIdReceiving]",Submission!$O:$O,Submission!$H:$N,""))</f>
        <v>2165</v>
      </c>
      <c r="F1266" s="124" t="str">
        <f>_xlfn.CONCAT(_xlfn.XLOOKUP("[S05_InherentCarbonTransferredDetail]["&amp;ROW(B1266)-ROW($B$1219)&amp;"][AmountCO2Transferred]",Submission!$O:$O,Submission!$H:$N,""))</f>
        <v>26107.695</v>
      </c>
      <c r="G1266" s="124" t="str">
        <f>_xlfn.CONCAT(_xlfn.XLOOKUP("[S05_InherentCarbonTransferredDetail]["&amp;ROW(B1266)-ROW($B$1219)&amp;"][InherentCO2Received]",Submission!$O:$O,Submission!$H:$N,""))</f>
        <v>26107.695</v>
      </c>
      <c r="H1266" s="71" t="str">
        <f>_xlfn.CONCAT(_xlfn.XLOOKUP("[S05_InherentCarbonTransferredDetail]["&amp;ROW(B1266)-ROW($B$1219)&amp;"][ReceivingInstallationType]",Submission!$O:$O,Submission!$H:$N,""))</f>
        <v>20 - Combustion of fuels as specified in Annex I of Directive 2003/87/EC</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Transfer of inherent CO2 (Article 48)</v>
      </c>
      <c r="D1267" s="72" t="str">
        <f>_xlfn.CONCAT(_xlfn.XLOOKUP("[S05_InherentCarbonTransferredDetail]["&amp;ROW(B1267)-ROW($B$1219)&amp;"][InstallationIdTransferring]",Submission!$O:$O,Submission!$H:$N,""))</f>
        <v>1052</v>
      </c>
      <c r="E1267" s="72" t="str">
        <f>_xlfn.CONCAT(_xlfn.XLOOKUP("[S05_InherentCarbonTransferredDetail]["&amp;ROW(B1267)-ROW($B$1219)&amp;"][InstallationIdReceiving]",Submission!$O:$O,Submission!$H:$N,""))</f>
        <v>1077</v>
      </c>
      <c r="F1267" s="124" t="str">
        <f>_xlfn.CONCAT(_xlfn.XLOOKUP("[S05_InherentCarbonTransferredDetail]["&amp;ROW(B1267)-ROW($B$1219)&amp;"][AmountCO2Transferred]",Submission!$O:$O,Submission!$H:$N,""))</f>
        <v>301197.5</v>
      </c>
      <c r="G1267" s="124" t="str">
        <f>_xlfn.CONCAT(_xlfn.XLOOKUP("[S05_InherentCarbonTransferredDetail]["&amp;ROW(B1267)-ROW($B$1219)&amp;"][InherentCO2Received]",Submission!$O:$O,Submission!$H:$N,""))</f>
        <v>301197.5</v>
      </c>
      <c r="H1267" s="71" t="str">
        <f>_xlfn.CONCAT(_xlfn.XLOOKUP("[S05_InherentCarbonTransferredDetail]["&amp;ROW(B1267)-ROW($B$1219)&amp;"][ReceivingInstallationType]",Submission!$O:$O,Submission!$H:$N,""))</f>
        <v>25 - Production or processing of ferrous metals as specified in Annex I of Directive 2003/87/EC</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Transfer of inherent CO2 (Article 48)</v>
      </c>
      <c r="D1268" s="72" t="str">
        <f>_xlfn.CONCAT(_xlfn.XLOOKUP("[S05_InherentCarbonTransferredDetail]["&amp;ROW(B1268)-ROW($B$1219)&amp;"][InstallationIdTransferring]",Submission!$O:$O,Submission!$H:$N,""))</f>
        <v>1052</v>
      </c>
      <c r="E1268" s="72" t="str">
        <f>_xlfn.CONCAT(_xlfn.XLOOKUP("[S05_InherentCarbonTransferredDetail]["&amp;ROW(B1268)-ROW($B$1219)&amp;"][InstallationIdReceiving]",Submission!$O:$O,Submission!$H:$N,""))</f>
        <v>2093</v>
      </c>
      <c r="F1268" s="124" t="str">
        <f>_xlfn.CONCAT(_xlfn.XLOOKUP("[S05_InherentCarbonTransferredDetail]["&amp;ROW(B1268)-ROW($B$1219)&amp;"][AmountCO2Transferred]",Submission!$O:$O,Submission!$H:$N,""))</f>
        <v>2494349.4</v>
      </c>
      <c r="G1268" s="124" t="str">
        <f>_xlfn.CONCAT(_xlfn.XLOOKUP("[S05_InherentCarbonTransferredDetail]["&amp;ROW(B1268)-ROW($B$1219)&amp;"][InherentCO2Received]",Submission!$O:$O,Submission!$H:$N,""))</f>
        <v>2494349.4</v>
      </c>
      <c r="H1268" s="71" t="str">
        <f>_xlfn.CONCAT(_xlfn.XLOOKUP("[S05_InherentCarbonTransferredDetail]["&amp;ROW(B1268)-ROW($B$1219)&amp;"][ReceivingInstallationType]",Submission!$O:$O,Submission!$H:$N,""))</f>
        <v>20 - Combustion of fuels as specified in Annex I of Directive 2003/87/EC</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Transfer of inherent CO2 (Article 48)</v>
      </c>
      <c r="D1269" s="72" t="str">
        <f>_xlfn.CONCAT(_xlfn.XLOOKUP("[S05_InherentCarbonTransferredDetail]["&amp;ROW(B1269)-ROW($B$1219)&amp;"][InstallationIdTransferring]",Submission!$O:$O,Submission!$H:$N,""))</f>
        <v>1052</v>
      </c>
      <c r="E1269" s="72" t="str">
        <f>_xlfn.CONCAT(_xlfn.XLOOKUP("[S05_InherentCarbonTransferredDetail]["&amp;ROW(B1269)-ROW($B$1219)&amp;"][InstallationIdReceiving]",Submission!$O:$O,Submission!$H:$N,""))</f>
        <v>2194</v>
      </c>
      <c r="F1269" s="124" t="str">
        <f>_xlfn.CONCAT(_xlfn.XLOOKUP("[S05_InherentCarbonTransferredDetail]["&amp;ROW(B1269)-ROW($B$1219)&amp;"][AmountCO2Transferred]",Submission!$O:$O,Submission!$H:$N,""))</f>
        <v>35093.8</v>
      </c>
      <c r="G1269" s="124" t="str">
        <f>_xlfn.CONCAT(_xlfn.XLOOKUP("[S05_InherentCarbonTransferredDetail]["&amp;ROW(B1269)-ROW($B$1219)&amp;"][InherentCO2Received]",Submission!$O:$O,Submission!$H:$N,""))</f>
        <v>35093.8</v>
      </c>
      <c r="H1269" s="71" t="str">
        <f>_xlfn.CONCAT(_xlfn.XLOOKUP("[S05_InherentCarbonTransferredDetail]["&amp;ROW(B1269)-ROW($B$1219)&amp;"][ReceivingInstallationType]",Submission!$O:$O,Submission!$H:$N,""))</f>
        <v>20 - Combustion of fuels as specified in Annex I of Directive 2003/87/EC</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Transfer of inherent CO2 (Article 48)</v>
      </c>
      <c r="D1270" s="72" t="str">
        <f>_xlfn.CONCAT(_xlfn.XLOOKUP("[S05_InherentCarbonTransferredDetail]["&amp;ROW(B1270)-ROW($B$1219)&amp;"][InstallationIdTransferring]",Submission!$O:$O,Submission!$H:$N,""))</f>
        <v>1056</v>
      </c>
      <c r="E1270" s="72" t="str">
        <f>_xlfn.CONCAT(_xlfn.XLOOKUP("[S05_InherentCarbonTransferredDetail]["&amp;ROW(B1270)-ROW($B$1219)&amp;"][InstallationIdReceiving]",Submission!$O:$O,Submission!$H:$N,""))</f>
        <v>1060</v>
      </c>
      <c r="F1270" s="124" t="str">
        <f>_xlfn.CONCAT(_xlfn.XLOOKUP("[S05_InherentCarbonTransferredDetail]["&amp;ROW(B1270)-ROW($B$1219)&amp;"][AmountCO2Transferred]",Submission!$O:$O,Submission!$H:$N,""))</f>
        <v>894348.289</v>
      </c>
      <c r="G1270" s="124" t="str">
        <f>_xlfn.CONCAT(_xlfn.XLOOKUP("[S05_InherentCarbonTransferredDetail]["&amp;ROW(B1270)-ROW($B$1219)&amp;"][InherentCO2Received]",Submission!$O:$O,Submission!$H:$N,""))</f>
        <v>894348.288</v>
      </c>
      <c r="H1270" s="71" t="str">
        <f>_xlfn.CONCAT(_xlfn.XLOOKUP("[S05_InherentCarbonTransferredDetail]["&amp;ROW(B1270)-ROW($B$1219)&amp;"][ReceivingInstallationType]",Submission!$O:$O,Submission!$H:$N,""))</f>
        <v>24 - Production of pig iron or steel as specified in Annex I of Directive 2003/87/EC</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Transfer of inherent CO2 (Article 48)</v>
      </c>
      <c r="D1271" s="72" t="str">
        <f>_xlfn.CONCAT(_xlfn.XLOOKUP("[S05_InherentCarbonTransferredDetail]["&amp;ROW(B1271)-ROW($B$1219)&amp;"][InstallationIdTransferring]",Submission!$O:$O,Submission!$H:$N,""))</f>
        <v>1060</v>
      </c>
      <c r="E1271" s="72" t="str">
        <f>_xlfn.CONCAT(_xlfn.XLOOKUP("[S05_InherentCarbonTransferredDetail]["&amp;ROW(B1271)-ROW($B$1219)&amp;"][InstallationIdReceiving]",Submission!$O:$O,Submission!$H:$N,""))</f>
        <v>1056</v>
      </c>
      <c r="F1271" s="124" t="str">
        <f>_xlfn.CONCAT(_xlfn.XLOOKUP("[S05_InherentCarbonTransferredDetail]["&amp;ROW(B1271)-ROW($B$1219)&amp;"][AmountCO2Transferred]",Submission!$O:$O,Submission!$H:$N,""))</f>
        <v>1858857.381</v>
      </c>
      <c r="G1271" s="124" t="str">
        <f>_xlfn.CONCAT(_xlfn.XLOOKUP("[S05_InherentCarbonTransferredDetail]["&amp;ROW(B1271)-ROW($B$1219)&amp;"][InherentCO2Received]",Submission!$O:$O,Submission!$H:$N,""))</f>
        <v>1858857.381</v>
      </c>
      <c r="H1271" s="71" t="str">
        <f>_xlfn.CONCAT(_xlfn.XLOOKUP("[S05_InherentCarbonTransferredDetail]["&amp;ROW(B1271)-ROW($B$1219)&amp;"][ReceivingInstallationType]",Submission!$O:$O,Submission!$H:$N,""))</f>
        <v xml:space="preserve">22 - Production of coke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Transfer of inherent CO2 (Article 48)</v>
      </c>
      <c r="D1272" s="72" t="str">
        <f>_xlfn.CONCAT(_xlfn.XLOOKUP("[S05_InherentCarbonTransferredDetail]["&amp;ROW(B1272)-ROW($B$1219)&amp;"][InstallationIdTransferring]",Submission!$O:$O,Submission!$H:$N,""))</f>
        <v>1060</v>
      </c>
      <c r="E1272" s="72" t="str">
        <f>_xlfn.CONCAT(_xlfn.XLOOKUP("[S05_InherentCarbonTransferredDetail]["&amp;ROW(B1272)-ROW($B$1219)&amp;"][InstallationIdReceiving]",Submission!$O:$O,Submission!$H:$N,""))</f>
        <v>1079</v>
      </c>
      <c r="F1272" s="124" t="str">
        <f>_xlfn.CONCAT(_xlfn.XLOOKUP("[S05_InherentCarbonTransferredDetail]["&amp;ROW(B1272)-ROW($B$1219)&amp;"][AmountCO2Transferred]",Submission!$O:$O,Submission!$H:$N,""))</f>
        <v>64868.237</v>
      </c>
      <c r="G1272" s="124" t="str">
        <f>_xlfn.CONCAT(_xlfn.XLOOKUP("[S05_InherentCarbonTransferredDetail]["&amp;ROW(B1272)-ROW($B$1219)&amp;"][InherentCO2Received]",Submission!$O:$O,Submission!$H:$N,""))</f>
        <v>64868.237</v>
      </c>
      <c r="H1272" s="71" t="str">
        <f>_xlfn.CONCAT(_xlfn.XLOOKUP("[S05_InherentCarbonTransferredDetail]["&amp;ROW(B1272)-ROW($B$1219)&amp;"][ReceivingInstallationType]",Submission!$O:$O,Submission!$H:$N,""))</f>
        <v>25 - Production or processing of ferrous metals as specified in Annex I of Directive 2003/87/EC</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Transfer of inherent CO2 (Article 48)</v>
      </c>
      <c r="D1273" s="72" t="str">
        <f>_xlfn.CONCAT(_xlfn.XLOOKUP("[S05_InherentCarbonTransferredDetail]["&amp;ROW(B1273)-ROW($B$1219)&amp;"][InstallationIdTransferring]",Submission!$O:$O,Submission!$H:$N,""))</f>
        <v>1060</v>
      </c>
      <c r="E1273" s="72" t="str">
        <f>_xlfn.CONCAT(_xlfn.XLOOKUP("[S05_InherentCarbonTransferredDetail]["&amp;ROW(B1273)-ROW($B$1219)&amp;"][InstallationIdReceiving]",Submission!$O:$O,Submission!$H:$N,""))</f>
        <v>2233</v>
      </c>
      <c r="F1273" s="124" t="str">
        <f>_xlfn.CONCAT(_xlfn.XLOOKUP("[S05_InherentCarbonTransferredDetail]["&amp;ROW(B1273)-ROW($B$1219)&amp;"][AmountCO2Transferred]",Submission!$O:$O,Submission!$H:$N,""))</f>
        <v>1473957.836</v>
      </c>
      <c r="G1273" s="124" t="str">
        <f>_xlfn.CONCAT(_xlfn.XLOOKUP("[S05_InherentCarbonTransferredDetail]["&amp;ROW(B1273)-ROW($B$1219)&amp;"][InherentCO2Received]",Submission!$O:$O,Submission!$H:$N,""))</f>
        <v>1473957.836</v>
      </c>
      <c r="H1273" s="71" t="str">
        <f>_xlfn.CONCAT(_xlfn.XLOOKUP("[S05_InherentCarbonTransferredDetail]["&amp;ROW(B1273)-ROW($B$1219)&amp;"][ReceivingInstallationType]",Submission!$O:$O,Submission!$H:$N,""))</f>
        <v>20 - Combustion of fuels as specified in Annex I of Directive 2003/87/EC</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Transfer of inherent CO2 (Article 48)</v>
      </c>
      <c r="D1274" s="72" t="str">
        <f>_xlfn.CONCAT(_xlfn.XLOOKUP("[S05_InherentCarbonTransferredDetail]["&amp;ROW(B1274)-ROW($B$1219)&amp;"][InstallationIdTransferring]",Submission!$O:$O,Submission!$H:$N,""))</f>
        <v>1060</v>
      </c>
      <c r="E1274" s="72" t="str">
        <f>_xlfn.CONCAT(_xlfn.XLOOKUP("[S05_InherentCarbonTransferredDetail]["&amp;ROW(B1274)-ROW($B$1219)&amp;"][InstallationIdReceiving]",Submission!$O:$O,Submission!$H:$N,""))</f>
        <v>2235</v>
      </c>
      <c r="F1274" s="124" t="str">
        <f>_xlfn.CONCAT(_xlfn.XLOOKUP("[S05_InherentCarbonTransferredDetail]["&amp;ROW(B1274)-ROW($B$1219)&amp;"][AmountCO2Transferred]",Submission!$O:$O,Submission!$H:$N,""))</f>
        <v>3105528.736</v>
      </c>
      <c r="G1274" s="124" t="str">
        <f>_xlfn.CONCAT(_xlfn.XLOOKUP("[S05_InherentCarbonTransferredDetail]["&amp;ROW(B1274)-ROW($B$1219)&amp;"][InherentCO2Received]",Submission!$O:$O,Submission!$H:$N,""))</f>
        <v>3105528.736</v>
      </c>
      <c r="H1274" s="71" t="str">
        <f>_xlfn.CONCAT(_xlfn.XLOOKUP("[S05_InherentCarbonTransferredDetail]["&amp;ROW(B1274)-ROW($B$1219)&amp;"][ReceivingInstallationType]",Submission!$O:$O,Submission!$H:$N,""))</f>
        <v>20 - Combustion of fuels as specified in Annex I of Directive 2003/87/EC</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Transfer of inherent CO2 (Article 48)</v>
      </c>
      <c r="D1275" s="72" t="str">
        <f>_xlfn.CONCAT(_xlfn.XLOOKUP("[S05_InherentCarbonTransferredDetail]["&amp;ROW(B1275)-ROW($B$1219)&amp;"][InstallationIdTransferring]",Submission!$O:$O,Submission!$H:$N,""))</f>
        <v>1060</v>
      </c>
      <c r="E1275" s="72" t="str">
        <f>_xlfn.CONCAT(_xlfn.XLOOKUP("[S05_InherentCarbonTransferredDetail]["&amp;ROW(B1275)-ROW($B$1219)&amp;"][InstallationIdReceiving]",Submission!$O:$O,Submission!$H:$N,""))</f>
        <v>2275</v>
      </c>
      <c r="F1275" s="124" t="str">
        <f>_xlfn.CONCAT(_xlfn.XLOOKUP("[S05_InherentCarbonTransferredDetail]["&amp;ROW(B1275)-ROW($B$1219)&amp;"][AmountCO2Transferred]",Submission!$O:$O,Submission!$H:$N,""))</f>
        <v>2385985.576</v>
      </c>
      <c r="G1275" s="124" t="str">
        <f>_xlfn.CONCAT(_xlfn.XLOOKUP("[S05_InherentCarbonTransferredDetail]["&amp;ROW(B1275)-ROW($B$1219)&amp;"][InherentCO2Received]",Submission!$O:$O,Submission!$H:$N,""))</f>
        <v>2385985.576</v>
      </c>
      <c r="H1275" s="71" t="str">
        <f>_xlfn.CONCAT(_xlfn.XLOOKUP("[S05_InherentCarbonTransferredDetail]["&amp;ROW(B1275)-ROW($B$1219)&amp;"][ReceivingInstallationType]",Submission!$O:$O,Submission!$H:$N,""))</f>
        <v>20 - Combustion of fuels as specified in Annex I of Directive 2003/87/EC</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Transfer of inherent CO2 (Article 48)</v>
      </c>
      <c r="D1276" s="72" t="str">
        <f>_xlfn.CONCAT(_xlfn.XLOOKUP("[S05_InherentCarbonTransferredDetail]["&amp;ROW(B1276)-ROW($B$1219)&amp;"][InstallationIdTransferring]",Submission!$O:$O,Submission!$H:$N,""))</f>
        <v>1060</v>
      </c>
      <c r="E1276" s="72" t="str">
        <f>_xlfn.CONCAT(_xlfn.XLOOKUP("[S05_InherentCarbonTransferredDetail]["&amp;ROW(B1276)-ROW($B$1219)&amp;"][InstallationIdReceiving]",Submission!$O:$O,Submission!$H:$N,""))</f>
        <v>2545</v>
      </c>
      <c r="F1276" s="124" t="str">
        <f>_xlfn.CONCAT(_xlfn.XLOOKUP("[S05_InherentCarbonTransferredDetail]["&amp;ROW(B1276)-ROW($B$1219)&amp;"][AmountCO2Transferred]",Submission!$O:$O,Submission!$H:$N,""))</f>
        <v>75659.845</v>
      </c>
      <c r="G1276" s="124" t="str">
        <f>_xlfn.CONCAT(_xlfn.XLOOKUP("[S05_InherentCarbonTransferredDetail]["&amp;ROW(B1276)-ROW($B$1219)&amp;"][InherentCO2Received]",Submission!$O:$O,Submission!$H:$N,""))</f>
        <v>75659.015</v>
      </c>
      <c r="H1276" s="71" t="str">
        <f>_xlfn.CONCAT(_xlfn.XLOOKUP("[S05_InherentCarbonTransferredDetail]["&amp;ROW(B1276)-ROW($B$1219)&amp;"][ReceivingInstallationType]",Submission!$O:$O,Submission!$H:$N,""))</f>
        <v>20 - Combustion of fuels as specified in Annex I of Directive 2003/87/EC</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Transfer of inherent CO2 (Article 48)</v>
      </c>
      <c r="D1277" s="72" t="str">
        <f>_xlfn.CONCAT(_xlfn.XLOOKUP("[S05_InherentCarbonTransferredDetail]["&amp;ROW(B1277)-ROW($B$1219)&amp;"][InstallationIdTransferring]",Submission!$O:$O,Submission!$H:$N,""))</f>
        <v>1066</v>
      </c>
      <c r="E1277" s="72" t="str">
        <f>_xlfn.CONCAT(_xlfn.XLOOKUP("[S05_InherentCarbonTransferredDetail]["&amp;ROW(B1277)-ROW($B$1219)&amp;"][InstallationIdReceiving]",Submission!$O:$O,Submission!$H:$N,""))</f>
        <v>1057</v>
      </c>
      <c r="F1277" s="124" t="str">
        <f>_xlfn.CONCAT(_xlfn.XLOOKUP("[S05_InherentCarbonTransferredDetail]["&amp;ROW(B1277)-ROW($B$1219)&amp;"][AmountCO2Transferred]",Submission!$O:$O,Submission!$H:$N,""))</f>
        <v>9274.627</v>
      </c>
      <c r="G1277" s="124" t="str">
        <f>_xlfn.CONCAT(_xlfn.XLOOKUP("[S05_InherentCarbonTransferredDetail]["&amp;ROW(B1277)-ROW($B$1219)&amp;"][InherentCO2Received]",Submission!$O:$O,Submission!$H:$N,""))</f>
        <v>9274.627</v>
      </c>
      <c r="H1277" s="71" t="str">
        <f>_xlfn.CONCAT(_xlfn.XLOOKUP("[S05_InherentCarbonTransferredDetail]["&amp;ROW(B1277)-ROW($B$1219)&amp;"][ReceivingInstallationType]",Submission!$O:$O,Submission!$H:$N,""))</f>
        <v>23 - Metal ore (including sulphide ore) roasting or sintering, including pelletisation</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Transfer of inherent CO2 (Article 48)</v>
      </c>
      <c r="D1278" s="72" t="str">
        <f>_xlfn.CONCAT(_xlfn.XLOOKUP("[S05_InherentCarbonTransferredDetail]["&amp;ROW(B1278)-ROW($B$1219)&amp;"][InstallationIdTransferring]",Submission!$O:$O,Submission!$H:$N,""))</f>
        <v>1066</v>
      </c>
      <c r="E1278" s="72" t="str">
        <f>_xlfn.CONCAT(_xlfn.XLOOKUP("[S05_InherentCarbonTransferredDetail]["&amp;ROW(B1278)-ROW($B$1219)&amp;"][InstallationIdReceiving]",Submission!$O:$O,Submission!$H:$N,""))</f>
        <v>2159</v>
      </c>
      <c r="F1278" s="124" t="str">
        <f>_xlfn.CONCAT(_xlfn.XLOOKUP("[S05_InherentCarbonTransferredDetail]["&amp;ROW(B1278)-ROW($B$1219)&amp;"][AmountCO2Transferred]",Submission!$O:$O,Submission!$H:$N,""))</f>
        <v>347739.1</v>
      </c>
      <c r="G1278" s="124" t="str">
        <f>_xlfn.CONCAT(_xlfn.XLOOKUP("[S05_InherentCarbonTransferredDetail]["&amp;ROW(B1278)-ROW($B$1219)&amp;"][InherentCO2Received]",Submission!$O:$O,Submission!$H:$N,""))</f>
        <v>347739.1</v>
      </c>
      <c r="H1278" s="71" t="str">
        <f>_xlfn.CONCAT(_xlfn.XLOOKUP("[S05_InherentCarbonTransferredDetail]["&amp;ROW(B1278)-ROW($B$1219)&amp;"][ReceivingInstallationType]",Submission!$O:$O,Submission!$H:$N,""))</f>
        <v>20 - Combustion of fuels as specified in Annex I of Directive 2003/87/EC</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Transfer of inherent CO2 (Article 48)</v>
      </c>
      <c r="D1279" s="72" t="str">
        <f>_xlfn.CONCAT(_xlfn.XLOOKUP("[S05_InherentCarbonTransferredDetail]["&amp;ROW(B1279)-ROW($B$1219)&amp;"][InstallationIdTransferring]",Submission!$O:$O,Submission!$H:$N,""))</f>
        <v>1649</v>
      </c>
      <c r="E1279" s="72" t="str">
        <f>_xlfn.CONCAT(_xlfn.XLOOKUP("[S05_InherentCarbonTransferredDetail]["&amp;ROW(B1279)-ROW($B$1219)&amp;"][InstallationIdReceiving]",Submission!$O:$O,Submission!$H:$N,""))</f>
        <v>1652</v>
      </c>
      <c r="F1279" s="124" t="str">
        <f>_xlfn.CONCAT(_xlfn.XLOOKUP("[S05_InherentCarbonTransferredDetail]["&amp;ROW(B1279)-ROW($B$1219)&amp;"][AmountCO2Transferred]",Submission!$O:$O,Submission!$H:$N,""))</f>
        <v>14608.672</v>
      </c>
      <c r="G1279" s="124" t="str">
        <f>_xlfn.CONCAT(_xlfn.XLOOKUP("[S05_InherentCarbonTransferredDetail]["&amp;ROW(B1279)-ROW($B$1219)&amp;"][InherentCO2Received]",Submission!$O:$O,Submission!$H:$N,""))</f>
        <v>14608.673</v>
      </c>
      <c r="H1279" s="71" t="str">
        <f>_xlfn.CONCAT(_xlfn.XLOOKUP("[S05_InherentCarbonTransferredDetail]["&amp;ROW(B1279)-ROW($B$1219)&amp;"][ReceivingInstallationType]",Submission!$O:$O,Submission!$H:$N,""))</f>
        <v xml:space="preserve">37 - Production of carbon black as specified in Annex I of Directive 2003/87/EC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Transfer of inherent CO2 (Article 48)</v>
      </c>
      <c r="D1280" s="72" t="str">
        <f>_xlfn.CONCAT(_xlfn.XLOOKUP("[S05_InherentCarbonTransferredDetail]["&amp;ROW(B1280)-ROW($B$1219)&amp;"][InstallationIdTransferring]",Submission!$O:$O,Submission!$H:$N,""))</f>
        <v>2727</v>
      </c>
      <c r="E1280" s="72" t="str">
        <f>_xlfn.CONCAT(_xlfn.XLOOKUP("[S05_InherentCarbonTransferredDetail]["&amp;ROW(B1280)-ROW($B$1219)&amp;"][InstallationIdReceiving]",Submission!$O:$O,Submission!$H:$N,""))</f>
        <v>1022</v>
      </c>
      <c r="F1280" s="124" t="str">
        <f>_xlfn.CONCAT(_xlfn.XLOOKUP("[S05_InherentCarbonTransferredDetail]["&amp;ROW(B1280)-ROW($B$1219)&amp;"][AmountCO2Transferred]",Submission!$O:$O,Submission!$H:$N,""))</f>
        <v>1534.993</v>
      </c>
      <c r="G1280" s="124" t="str">
        <f>_xlfn.CONCAT(_xlfn.XLOOKUP("[S05_InherentCarbonTransferredDetail]["&amp;ROW(B1280)-ROW($B$1219)&amp;"][InherentCO2Received]",Submission!$O:$O,Submission!$H:$N,""))</f>
        <v>1534.993</v>
      </c>
      <c r="H1280" s="71" t="str">
        <f>_xlfn.CONCAT(_xlfn.XLOOKUP("[S05_InherentCarbonTransferredDetail]["&amp;ROW(B1280)-ROW($B$1219)&amp;"][ReceivingInstallationType]",Submission!$O:$O,Submission!$H:$N,""))</f>
        <v>21 - Refining of mineral oil</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Transfer of inherent CO2 (Article 48)</v>
      </c>
      <c r="D1281" s="72" t="str">
        <f>_xlfn.CONCAT(_xlfn.XLOOKUP("[S05_InherentCarbonTransferredDetail]["&amp;ROW(B1281)-ROW($B$1219)&amp;"][InstallationIdTransferring]",Submission!$O:$O,Submission!$H:$N,""))</f>
        <v>2732</v>
      </c>
      <c r="E1281" s="72" t="str">
        <f>_xlfn.CONCAT(_xlfn.XLOOKUP("[S05_InherentCarbonTransferredDetail]["&amp;ROW(B1281)-ROW($B$1219)&amp;"][InstallationIdReceiving]",Submission!$O:$O,Submission!$H:$N,""))</f>
        <v>2733</v>
      </c>
      <c r="F1281" s="124" t="str">
        <f>_xlfn.CONCAT(_xlfn.XLOOKUP("[S05_InherentCarbonTransferredDetail]["&amp;ROW(B1281)-ROW($B$1219)&amp;"][AmountCO2Transferred]",Submission!$O:$O,Submission!$H:$N,""))</f>
        <v>1194.3</v>
      </c>
      <c r="G1281" s="124" t="str">
        <f>_xlfn.CONCAT(_xlfn.XLOOKUP("[S05_InherentCarbonTransferredDetail]["&amp;ROW(B1281)-ROW($B$1219)&amp;"][InherentCO2Received]",Submission!$O:$O,Submission!$H:$N,""))</f>
        <v>1194.3</v>
      </c>
      <c r="H1281" s="71" t="str">
        <f>_xlfn.CONCAT(_xlfn.XLOOKUP("[S05_InherentCarbonTransferredDetail]["&amp;ROW(B1281)-ROW($B$1219)&amp;"][ReceivingInstallationType]",Submission!$O:$O,Submission!$H:$N,""))</f>
        <v xml:space="preserve">43 - Production of hydrogen (H2) and synthesis gas as specified in Annex I of Directive 2003/87/EC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Transfer of inherent CO2 (Article 48)</v>
      </c>
      <c r="D1282" s="72" t="str">
        <f>_xlfn.CONCAT(_xlfn.XLOOKUP("[S05_InherentCarbonTransferredDetail]["&amp;ROW(B1282)-ROW($B$1219)&amp;"][InstallationIdTransferring]",Submission!$O:$O,Submission!$H:$N,""))</f>
        <v>2736</v>
      </c>
      <c r="E1282" s="72" t="str">
        <f>_xlfn.CONCAT(_xlfn.XLOOKUP("[S05_InherentCarbonTransferredDetail]["&amp;ROW(B1282)-ROW($B$1219)&amp;"][InstallationIdReceiving]",Submission!$O:$O,Submission!$H:$N,""))</f>
        <v>2854</v>
      </c>
      <c r="F1282" s="124" t="str">
        <f>_xlfn.CONCAT(_xlfn.XLOOKUP("[S05_InherentCarbonTransferredDetail]["&amp;ROW(B1282)-ROW($B$1219)&amp;"][AmountCO2Transferred]",Submission!$O:$O,Submission!$H:$N,""))</f>
        <v>5328.097</v>
      </c>
      <c r="G1282" s="124" t="str">
        <f>_xlfn.CONCAT(_xlfn.XLOOKUP("[S05_InherentCarbonTransferredDetail]["&amp;ROW(B1282)-ROW($B$1219)&amp;"][InherentCO2Received]",Submission!$O:$O,Submission!$H:$N,""))</f>
        <v>5329</v>
      </c>
      <c r="H1282" s="71" t="str">
        <f>_xlfn.CONCAT(_xlfn.XLOOKUP("[S05_InherentCarbonTransferredDetail]["&amp;ROW(B1282)-ROW($B$1219)&amp;"][ReceivingInstallationType]",Submission!$O:$O,Submission!$H:$N,""))</f>
        <v xml:space="preserve">42 - Production of bulk organic chemicals as specified in Annex I of Directive 2003/87/EC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Transfer of inherent CO2 (Article 48)</v>
      </c>
      <c r="D1283" s="72" t="str">
        <f>_xlfn.CONCAT(_xlfn.XLOOKUP("[S05_InherentCarbonTransferredDetail]["&amp;ROW(B1283)-ROW($B$1219)&amp;"][InstallationIdTransferring]",Submission!$O:$O,Submission!$H:$N,""))</f>
        <v>2745</v>
      </c>
      <c r="E1283" s="72" t="str">
        <f>_xlfn.CONCAT(_xlfn.XLOOKUP("[S05_InherentCarbonTransferredDetail]["&amp;ROW(B1283)-ROW($B$1219)&amp;"][InstallationIdReceiving]",Submission!$O:$O,Submission!$H:$N,""))</f>
        <v>2931</v>
      </c>
      <c r="F1283" s="124" t="str">
        <f>_xlfn.CONCAT(_xlfn.XLOOKUP("[S05_InherentCarbonTransferredDetail]["&amp;ROW(B1283)-ROW($B$1219)&amp;"][AmountCO2Transferred]",Submission!$O:$O,Submission!$H:$N,""))</f>
        <v>1863.567</v>
      </c>
      <c r="G1283" s="124" t="str">
        <f>_xlfn.CONCAT(_xlfn.XLOOKUP("[S05_InherentCarbonTransferredDetail]["&amp;ROW(B1283)-ROW($B$1219)&amp;"][InherentCO2Received]",Submission!$O:$O,Submission!$H:$N,""))</f>
        <v>1863.567</v>
      </c>
      <c r="H1283" s="71" t="str">
        <f>_xlfn.CONCAT(_xlfn.XLOOKUP("[S05_InherentCarbonTransferredDetail]["&amp;ROW(B1283)-ROW($B$1219)&amp;"][ReceivingInstallationType]",Submission!$O:$O,Submission!$H:$N,""))</f>
        <v xml:space="preserve">42 - Production of bulk organic chemicals as specified in Annex I of Directive 2003/87/EC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Transfer of inherent CO2 (Article 48)</v>
      </c>
      <c r="D1284" s="72" t="str">
        <f>_xlfn.CONCAT(_xlfn.XLOOKUP("[S05_InherentCarbonTransferredDetail]["&amp;ROW(B1284)-ROW($B$1219)&amp;"][InstallationIdTransferring]",Submission!$O:$O,Submission!$H:$N,""))</f>
        <v>2751</v>
      </c>
      <c r="E1284" s="72" t="str">
        <f>_xlfn.CONCAT(_xlfn.XLOOKUP("[S05_InherentCarbonTransferredDetail]["&amp;ROW(B1284)-ROW($B$1219)&amp;"][InstallationIdReceiving]",Submission!$O:$O,Submission!$H:$N,""))</f>
        <v>2745</v>
      </c>
      <c r="F1284" s="124" t="str">
        <f>_xlfn.CONCAT(_xlfn.XLOOKUP("[S05_InherentCarbonTransferredDetail]["&amp;ROW(B1284)-ROW($B$1219)&amp;"][AmountCO2Transferred]",Submission!$O:$O,Submission!$H:$N,""))</f>
        <v>7563</v>
      </c>
      <c r="G1284" s="124" t="str">
        <f>_xlfn.CONCAT(_xlfn.XLOOKUP("[S05_InherentCarbonTransferredDetail]["&amp;ROW(B1284)-ROW($B$1219)&amp;"][InherentCO2Received]",Submission!$O:$O,Submission!$H:$N,""))</f>
        <v>7562.9</v>
      </c>
      <c r="H1284" s="71" t="str">
        <f>_xlfn.CONCAT(_xlfn.XLOOKUP("[S05_InherentCarbonTransferredDetail]["&amp;ROW(B1284)-ROW($B$1219)&amp;"][ReceivingInstallationType]",Submission!$O:$O,Submission!$H:$N,""))</f>
        <v xml:space="preserve">38 - Production of nitric acid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Transfer of inherent CO2 (Article 48)</v>
      </c>
      <c r="D1285" s="72" t="str">
        <f>_xlfn.CONCAT(_xlfn.XLOOKUP("[S05_InherentCarbonTransferredDetail]["&amp;ROW(B1285)-ROW($B$1219)&amp;"][InstallationIdTransferring]",Submission!$O:$O,Submission!$H:$N,""))</f>
        <v>2756</v>
      </c>
      <c r="E1285" s="72" t="str">
        <f>_xlfn.CONCAT(_xlfn.XLOOKUP("[S05_InherentCarbonTransferredDetail]["&amp;ROW(B1285)-ROW($B$1219)&amp;"][InstallationIdReceiving]",Submission!$O:$O,Submission!$H:$N,""))</f>
        <v>2929</v>
      </c>
      <c r="F1285" s="124" t="str">
        <f>_xlfn.CONCAT(_xlfn.XLOOKUP("[S05_InherentCarbonTransferredDetail]["&amp;ROW(B1285)-ROW($B$1219)&amp;"][AmountCO2Transferred]",Submission!$O:$O,Submission!$H:$N,""))</f>
        <v>16433.119</v>
      </c>
      <c r="G1285" s="124" t="str">
        <f>_xlfn.CONCAT(_xlfn.XLOOKUP("[S05_InherentCarbonTransferredDetail]["&amp;ROW(B1285)-ROW($B$1219)&amp;"][InherentCO2Received]",Submission!$O:$O,Submission!$H:$N,""))</f>
        <v>16433.119</v>
      </c>
      <c r="H1285" s="71" t="str">
        <f>_xlfn.CONCAT(_xlfn.XLOOKUP("[S05_InherentCarbonTransferredDetail]["&amp;ROW(B1285)-ROW($B$1219)&amp;"][ReceivingInstallationType]",Submission!$O:$O,Submission!$H:$N,""))</f>
        <v xml:space="preserve">42 - Production of bulk organic chemicals as specified in Annex I of Directive 2003/87/EC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Transfer of inherent CO2 (Article 48)</v>
      </c>
      <c r="D1286" s="72" t="str">
        <f>_xlfn.CONCAT(_xlfn.XLOOKUP("[S05_InherentCarbonTransferredDetail]["&amp;ROW(B1286)-ROW($B$1219)&amp;"][InstallationIdTransferring]",Submission!$O:$O,Submission!$H:$N,""))</f>
        <v>2762</v>
      </c>
      <c r="E1286" s="72" t="str">
        <f>_xlfn.CONCAT(_xlfn.XLOOKUP("[S05_InherentCarbonTransferredDetail]["&amp;ROW(B1286)-ROW($B$1219)&amp;"][InstallationIdReceiving]",Submission!$O:$O,Submission!$H:$N,""))</f>
        <v>1786</v>
      </c>
      <c r="F1286" s="124" t="str">
        <f>_xlfn.CONCAT(_xlfn.XLOOKUP("[S05_InherentCarbonTransferredDetail]["&amp;ROW(B1286)-ROW($B$1219)&amp;"][AmountCO2Transferred]",Submission!$O:$O,Submission!$H:$N,""))</f>
        <v>3144</v>
      </c>
      <c r="G1286" s="124" t="str">
        <f>_xlfn.CONCAT(_xlfn.XLOOKUP("[S05_InherentCarbonTransferredDetail]["&amp;ROW(B1286)-ROW($B$1219)&amp;"][InherentCO2Received]",Submission!$O:$O,Submission!$H:$N,""))</f>
        <v>4119.278</v>
      </c>
      <c r="H1286" s="71" t="str">
        <f>_xlfn.CONCAT(_xlfn.XLOOKUP("[S05_InherentCarbonTransferredDetail]["&amp;ROW(B1286)-ROW($B$1219)&amp;"][ReceivingInstallationType]",Submission!$O:$O,Submission!$H:$N,""))</f>
        <v>20 - Combustion of fuels as specified in Annex I of Directive 2003/87/EC</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Transfer of inherent CO2 (Article 48)</v>
      </c>
      <c r="D1287" s="72" t="str">
        <f>_xlfn.CONCAT(_xlfn.XLOOKUP("[S05_InherentCarbonTransferredDetail]["&amp;ROW(B1287)-ROW($B$1219)&amp;"][InstallationIdTransferring]",Submission!$O:$O,Submission!$H:$N,""))</f>
        <v>2762</v>
      </c>
      <c r="E1287" s="72" t="str">
        <f>_xlfn.CONCAT(_xlfn.XLOOKUP("[S05_InherentCarbonTransferredDetail]["&amp;ROW(B1287)-ROW($B$1219)&amp;"][InstallationIdReceiving]",Submission!$O:$O,Submission!$H:$N,""))</f>
        <v>1803</v>
      </c>
      <c r="F1287" s="124" t="str">
        <f>_xlfn.CONCAT(_xlfn.XLOOKUP("[S05_InherentCarbonTransferredDetail]["&amp;ROW(B1287)-ROW($B$1219)&amp;"][AmountCO2Transferred]",Submission!$O:$O,Submission!$H:$N,""))</f>
        <v>1090.86949296</v>
      </c>
      <c r="G1287" s="124" t="str">
        <f>_xlfn.CONCAT(_xlfn.XLOOKUP("[S05_InherentCarbonTransferredDetail]["&amp;ROW(B1287)-ROW($B$1219)&amp;"][InherentCO2Received]",Submission!$O:$O,Submission!$H:$N,""))</f>
        <v>1304.995</v>
      </c>
      <c r="H1287" s="71" t="str">
        <f>_xlfn.CONCAT(_xlfn.XLOOKUP("[S05_InherentCarbonTransferredDetail]["&amp;ROW(B1287)-ROW($B$1219)&amp;"][ReceivingInstallationType]",Submission!$O:$O,Submission!$H:$N,""))</f>
        <v>20 - Combustion of fuels as specified in Annex I of Directive 2003/87/EC</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Transfer of inherent CO2 (Article 48)</v>
      </c>
      <c r="D1288" s="72" t="str">
        <f>_xlfn.CONCAT(_xlfn.XLOOKUP("[S05_InherentCarbonTransferredDetail]["&amp;ROW(B1288)-ROW($B$1219)&amp;"][InstallationIdTransferring]",Submission!$O:$O,Submission!$H:$N,""))</f>
        <v>2767</v>
      </c>
      <c r="E1288" s="72" t="str">
        <f>_xlfn.CONCAT(_xlfn.XLOOKUP("[S05_InherentCarbonTransferredDetail]["&amp;ROW(B1288)-ROW($B$1219)&amp;"][InstallationIdReceiving]",Submission!$O:$O,Submission!$H:$N,""))</f>
        <v>1823</v>
      </c>
      <c r="F1288" s="124" t="str">
        <f>_xlfn.CONCAT(_xlfn.XLOOKUP("[S05_InherentCarbonTransferredDetail]["&amp;ROW(B1288)-ROW($B$1219)&amp;"][AmountCO2Transferred]",Submission!$O:$O,Submission!$H:$N,""))</f>
        <v>5791.938</v>
      </c>
      <c r="G1288" s="124" t="str">
        <f>_xlfn.CONCAT(_xlfn.XLOOKUP("[S05_InherentCarbonTransferredDetail]["&amp;ROW(B1288)-ROW($B$1219)&amp;"][InherentCO2Received]",Submission!$O:$O,Submission!$H:$N,""))</f>
        <v>5792.347</v>
      </c>
      <c r="H1288" s="71" t="str">
        <f>_xlfn.CONCAT(_xlfn.XLOOKUP("[S05_InherentCarbonTransferredDetail]["&amp;ROW(B1288)-ROW($B$1219)&amp;"][ReceivingInstallationType]",Submission!$O:$O,Submission!$H:$N,""))</f>
        <v>20 - Combustion of fuels as specified in Annex I of Directive 2003/87/EC</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Transfer of inherent CO2 (Article 48)</v>
      </c>
      <c r="D1289" s="72" t="str">
        <f>_xlfn.CONCAT(_xlfn.XLOOKUP("[S05_InherentCarbonTransferredDetail]["&amp;ROW(B1289)-ROW($B$1219)&amp;"][InstallationIdTransferring]",Submission!$O:$O,Submission!$H:$N,""))</f>
        <v>2776</v>
      </c>
      <c r="E1289" s="72" t="str">
        <f>_xlfn.CONCAT(_xlfn.XLOOKUP("[S05_InherentCarbonTransferredDetail]["&amp;ROW(B1289)-ROW($B$1219)&amp;"][InstallationIdReceiving]",Submission!$O:$O,Submission!$H:$N,""))</f>
        <v>2454</v>
      </c>
      <c r="F1289" s="124" t="str">
        <f>_xlfn.CONCAT(_xlfn.XLOOKUP("[S05_InherentCarbonTransferredDetail]["&amp;ROW(B1289)-ROW($B$1219)&amp;"][AmountCO2Transferred]",Submission!$O:$O,Submission!$H:$N,""))</f>
        <v>44.167</v>
      </c>
      <c r="G1289" s="124" t="str">
        <f>_xlfn.CONCAT(_xlfn.XLOOKUP("[S05_InherentCarbonTransferredDetail]["&amp;ROW(B1289)-ROW($B$1219)&amp;"][InherentCO2Received]",Submission!$O:$O,Submission!$H:$N,""))</f>
        <v>42.03</v>
      </c>
      <c r="H1289" s="71" t="str">
        <f>_xlfn.CONCAT(_xlfn.XLOOKUP("[S05_InherentCarbonTransferredDetail]["&amp;ROW(B1289)-ROW($B$1219)&amp;"][ReceivingInstallationType]",Submission!$O:$O,Submission!$H:$N,""))</f>
        <v>20 - Combustion of fuels as specified in Annex I of Directive 2003/87/EC</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Transfer of inherent CO2 (Article 48)</v>
      </c>
      <c r="D1290" s="72" t="str">
        <f>_xlfn.CONCAT(_xlfn.XLOOKUP("[S05_InherentCarbonTransferredDetail]["&amp;ROW(B1290)-ROW($B$1219)&amp;"][InstallationIdTransferring]",Submission!$O:$O,Submission!$H:$N,""))</f>
        <v>2797</v>
      </c>
      <c r="E1290" s="72" t="str">
        <f>_xlfn.CONCAT(_xlfn.XLOOKUP("[S05_InherentCarbonTransferredDetail]["&amp;ROW(B1290)-ROW($B$1219)&amp;"][InstallationIdReceiving]",Submission!$O:$O,Submission!$H:$N,""))</f>
        <v>2073</v>
      </c>
      <c r="F1290" s="124" t="str">
        <f>_xlfn.CONCAT(_xlfn.XLOOKUP("[S05_InherentCarbonTransferredDetail]["&amp;ROW(B1290)-ROW($B$1219)&amp;"][AmountCO2Transferred]",Submission!$O:$O,Submission!$H:$N,""))</f>
        <v>342.2</v>
      </c>
      <c r="G1290" s="124" t="str">
        <f>_xlfn.CONCAT(_xlfn.XLOOKUP("[S05_InherentCarbonTransferredDetail]["&amp;ROW(B1290)-ROW($B$1219)&amp;"][InherentCO2Received]",Submission!$O:$O,Submission!$H:$N,""))</f>
        <v>342.218</v>
      </c>
      <c r="H1290" s="71" t="str">
        <f>_xlfn.CONCAT(_xlfn.XLOOKUP("[S05_InherentCarbonTransferredDetail]["&amp;ROW(B1290)-ROW($B$1219)&amp;"][ReceivingInstallationType]",Submission!$O:$O,Submission!$H:$N,""))</f>
        <v>20 - Combustion of fuels as specified in Annex I of Directive 2003/87/EC</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Transfer of inherent CO2 (Article 48)</v>
      </c>
      <c r="D1291" s="72" t="str">
        <f>_xlfn.CONCAT(_xlfn.XLOOKUP("[S05_InherentCarbonTransferredDetail]["&amp;ROW(B1291)-ROW($B$1219)&amp;"][InstallationIdTransferring]",Submission!$O:$O,Submission!$H:$N,""))</f>
        <v>2798</v>
      </c>
      <c r="E1291" s="72" t="str">
        <f>_xlfn.CONCAT(_xlfn.XLOOKUP("[S05_InherentCarbonTransferredDetail]["&amp;ROW(B1291)-ROW($B$1219)&amp;"][InstallationIdReceiving]",Submission!$O:$O,Submission!$H:$N,""))</f>
        <v>2073</v>
      </c>
      <c r="F1291" s="124" t="str">
        <f>_xlfn.CONCAT(_xlfn.XLOOKUP("[S05_InherentCarbonTransferredDetail]["&amp;ROW(B1291)-ROW($B$1219)&amp;"][AmountCO2Transferred]",Submission!$O:$O,Submission!$H:$N,""))</f>
        <v>1140.391</v>
      </c>
      <c r="G1291" s="124" t="str">
        <f>_xlfn.CONCAT(_xlfn.XLOOKUP("[S05_InherentCarbonTransferredDetail]["&amp;ROW(B1291)-ROW($B$1219)&amp;"][InherentCO2Received]",Submission!$O:$O,Submission!$H:$N,""))</f>
        <v>1140.391</v>
      </c>
      <c r="H1291" s="71" t="str">
        <f>_xlfn.CONCAT(_xlfn.XLOOKUP("[S05_InherentCarbonTransferredDetail]["&amp;ROW(B1291)-ROW($B$1219)&amp;"][ReceivingInstallationType]",Submission!$O:$O,Submission!$H:$N,""))</f>
        <v>20 - Combustion of fuels as specified in Annex I of Directive 2003/87/EC</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Transfer of inherent CO2 (Article 48)</v>
      </c>
      <c r="D1292" s="72" t="str">
        <f>_xlfn.CONCAT(_xlfn.XLOOKUP("[S05_InherentCarbonTransferredDetail]["&amp;ROW(B1292)-ROW($B$1219)&amp;"][InstallationIdTransferring]",Submission!$O:$O,Submission!$H:$N,""))</f>
        <v>2799</v>
      </c>
      <c r="E1292" s="72" t="str">
        <f>_xlfn.CONCAT(_xlfn.XLOOKUP("[S05_InherentCarbonTransferredDetail]["&amp;ROW(B1292)-ROW($B$1219)&amp;"][InstallationIdReceiving]",Submission!$O:$O,Submission!$H:$N,""))</f>
        <v>2073</v>
      </c>
      <c r="F1292" s="124" t="str">
        <f>_xlfn.CONCAT(_xlfn.XLOOKUP("[S05_InherentCarbonTransferredDetail]["&amp;ROW(B1292)-ROW($B$1219)&amp;"][AmountCO2Transferred]",Submission!$O:$O,Submission!$H:$N,""))</f>
        <v>202.693</v>
      </c>
      <c r="G1292" s="124" t="str">
        <f>_xlfn.CONCAT(_xlfn.XLOOKUP("[S05_InherentCarbonTransferredDetail]["&amp;ROW(B1292)-ROW($B$1219)&amp;"][InherentCO2Received]",Submission!$O:$O,Submission!$H:$N,""))</f>
        <v>202.693</v>
      </c>
      <c r="H1292" s="71" t="str">
        <f>_xlfn.CONCAT(_xlfn.XLOOKUP("[S05_InherentCarbonTransferredDetail]["&amp;ROW(B1292)-ROW($B$1219)&amp;"][ReceivingInstallationType]",Submission!$O:$O,Submission!$H:$N,""))</f>
        <v>20 - Combustion of fuels as specified in Annex I of Directive 2003/87/EC</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Transfer of inherent CO2 (Article 48)</v>
      </c>
      <c r="D1293" s="72" t="str">
        <f>_xlfn.CONCAT(_xlfn.XLOOKUP("[S05_InherentCarbonTransferredDetail]["&amp;ROW(B1293)-ROW($B$1219)&amp;"][InstallationIdTransferring]",Submission!$O:$O,Submission!$H:$N,""))</f>
        <v>2803</v>
      </c>
      <c r="E1293" s="72" t="str">
        <f>_xlfn.CONCAT(_xlfn.XLOOKUP("[S05_InherentCarbonTransferredDetail]["&amp;ROW(B1293)-ROW($B$1219)&amp;"][InstallationIdReceiving]",Submission!$O:$O,Submission!$H:$N,""))</f>
        <v>1030</v>
      </c>
      <c r="F1293" s="124" t="str">
        <f>_xlfn.CONCAT(_xlfn.XLOOKUP("[S05_InherentCarbonTransferredDetail]["&amp;ROW(B1293)-ROW($B$1219)&amp;"][AmountCO2Transferred]",Submission!$O:$O,Submission!$H:$N,""))</f>
        <v>2259.055</v>
      </c>
      <c r="G1293" s="124" t="str">
        <f>_xlfn.CONCAT(_xlfn.XLOOKUP("[S05_InherentCarbonTransferredDetail]["&amp;ROW(B1293)-ROW($B$1219)&amp;"][InherentCO2Received]",Submission!$O:$O,Submission!$H:$N,""))</f>
        <v>2259</v>
      </c>
      <c r="H1293" s="71" t="str">
        <f>_xlfn.CONCAT(_xlfn.XLOOKUP("[S05_InherentCarbonTransferredDetail]["&amp;ROW(B1293)-ROW($B$1219)&amp;"][ReceivingInstallationType]",Submission!$O:$O,Submission!$H:$N,""))</f>
        <v xml:space="preserve">42 - Production of bulk organic chemicals as specified in Annex I of Directive 2003/87/EC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Transfer of inherent CO2 (Article 48)</v>
      </c>
      <c r="D1294" s="72" t="str">
        <f>_xlfn.CONCAT(_xlfn.XLOOKUP("[S05_InherentCarbonTransferredDetail]["&amp;ROW(B1294)-ROW($B$1219)&amp;"][InstallationIdTransferring]",Submission!$O:$O,Submission!$H:$N,""))</f>
        <v>2805</v>
      </c>
      <c r="E1294" s="72" t="str">
        <f>_xlfn.CONCAT(_xlfn.XLOOKUP("[S05_InherentCarbonTransferredDetail]["&amp;ROW(B1294)-ROW($B$1219)&amp;"][InstallationIdReceiving]",Submission!$O:$O,Submission!$H:$N,""))</f>
        <v>1030</v>
      </c>
      <c r="F1294" s="124" t="str">
        <f>_xlfn.CONCAT(_xlfn.XLOOKUP("[S05_InherentCarbonTransferredDetail]["&amp;ROW(B1294)-ROW($B$1219)&amp;"][AmountCO2Transferred]",Submission!$O:$O,Submission!$H:$N,""))</f>
        <v>3.455</v>
      </c>
      <c r="G1294" s="124" t="str">
        <f>_xlfn.CONCAT(_xlfn.XLOOKUP("[S05_InherentCarbonTransferredDetail]["&amp;ROW(B1294)-ROW($B$1219)&amp;"][InherentCO2Received]",Submission!$O:$O,Submission!$H:$N,""))</f>
        <v>3.455</v>
      </c>
      <c r="H1294" s="71" t="str">
        <f>_xlfn.CONCAT(_xlfn.XLOOKUP("[S05_InherentCarbonTransferredDetail]["&amp;ROW(B1294)-ROW($B$1219)&amp;"][ReceivingInstallationType]",Submission!$O:$O,Submission!$H:$N,""))</f>
        <v xml:space="preserve">42 - Production of bulk organic chemicals as specified in Annex I of Directive 2003/87/EC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Transfer of inherent CO2 (Article 48)</v>
      </c>
      <c r="D1295" s="72" t="str">
        <f>_xlfn.CONCAT(_xlfn.XLOOKUP("[S05_InherentCarbonTransferredDetail]["&amp;ROW(B1295)-ROW($B$1219)&amp;"][InstallationIdTransferring]",Submission!$O:$O,Submission!$H:$N,""))</f>
        <v>2808</v>
      </c>
      <c r="E1295" s="72" t="str">
        <f>_xlfn.CONCAT(_xlfn.XLOOKUP("[S05_InherentCarbonTransferredDetail]["&amp;ROW(B1295)-ROW($B$1219)&amp;"][InstallationIdReceiving]",Submission!$O:$O,Submission!$H:$N,""))</f>
        <v>2403</v>
      </c>
      <c r="F1295" s="124" t="str">
        <f>_xlfn.CONCAT(_xlfn.XLOOKUP("[S05_InherentCarbonTransferredDetail]["&amp;ROW(B1295)-ROW($B$1219)&amp;"][AmountCO2Transferred]",Submission!$O:$O,Submission!$H:$N,""))</f>
        <v>11639.196</v>
      </c>
      <c r="G1295" s="124" t="str">
        <f>_xlfn.CONCAT(_xlfn.XLOOKUP("[S05_InherentCarbonTransferredDetail]["&amp;ROW(B1295)-ROW($B$1219)&amp;"][InherentCO2Received]",Submission!$O:$O,Submission!$H:$N,""))</f>
        <v>11639.196</v>
      </c>
      <c r="H1295" s="71" t="str">
        <f>_xlfn.CONCAT(_xlfn.XLOOKUP("[S05_InherentCarbonTransferredDetail]["&amp;ROW(B1295)-ROW($B$1219)&amp;"][ReceivingInstallationType]",Submission!$O:$O,Submission!$H:$N,""))</f>
        <v>20 - Combustion of fuels as specified in Annex I of Directive 2003/87/EC</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Transfer of inherent CO2 (Article 48)</v>
      </c>
      <c r="D1296" s="72" t="str">
        <f>_xlfn.CONCAT(_xlfn.XLOOKUP("[S05_InherentCarbonTransferredDetail]["&amp;ROW(B1296)-ROW($B$1219)&amp;"][InstallationIdTransferring]",Submission!$O:$O,Submission!$H:$N,""))</f>
        <v>2930</v>
      </c>
      <c r="E1296" s="72" t="str">
        <f>_xlfn.CONCAT(_xlfn.XLOOKUP("[S05_InherentCarbonTransferredDetail]["&amp;ROW(B1296)-ROW($B$1219)&amp;"][InstallationIdReceiving]",Submission!$O:$O,Submission!$H:$N,""))</f>
        <v>2792</v>
      </c>
      <c r="F1296" s="124" t="str">
        <f>_xlfn.CONCAT(_xlfn.XLOOKUP("[S05_InherentCarbonTransferredDetail]["&amp;ROW(B1296)-ROW($B$1219)&amp;"][AmountCO2Transferred]",Submission!$O:$O,Submission!$H:$N,""))</f>
        <v>8.9</v>
      </c>
      <c r="G1296" s="124" t="str">
        <f>_xlfn.CONCAT(_xlfn.XLOOKUP("[S05_InherentCarbonTransferredDetail]["&amp;ROW(B1296)-ROW($B$1219)&amp;"][InherentCO2Received]",Submission!$O:$O,Submission!$H:$N,""))</f>
        <v>8.9</v>
      </c>
      <c r="H1296" s="71" t="str">
        <f>_xlfn.CONCAT(_xlfn.XLOOKUP("[S05_InherentCarbonTransferredDetail]["&amp;ROW(B1296)-ROW($B$1219)&amp;"][ReceivingInstallationType]",Submission!$O:$O,Submission!$H:$N,""))</f>
        <v xml:space="preserve">42 - Production of bulk organic chemicals as specified in Annex I of Directive 2003/87/EC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Transfer of inherent CO2 (Article 48)</v>
      </c>
      <c r="D1297" s="72" t="str">
        <f>_xlfn.CONCAT(_xlfn.XLOOKUP("[S05_InherentCarbonTransferredDetail]["&amp;ROW(B1297)-ROW($B$1219)&amp;"][InstallationIdTransferring]",Submission!$O:$O,Submission!$H:$N,""))</f>
        <v>2856</v>
      </c>
      <c r="E1297" s="72" t="str">
        <f>_xlfn.CONCAT(_xlfn.XLOOKUP("[S05_InherentCarbonTransferredDetail]["&amp;ROW(B1297)-ROW($B$1219)&amp;"][InstallationIdReceiving]",Submission!$O:$O,Submission!$H:$N,""))</f>
        <v>1986</v>
      </c>
      <c r="F1297" s="124" t="str">
        <f>_xlfn.CONCAT(_xlfn.XLOOKUP("[S05_InherentCarbonTransferredDetail]["&amp;ROW(B1297)-ROW($B$1219)&amp;"][AmountCO2Transferred]",Submission!$O:$O,Submission!$H:$N,""))</f>
        <v>1397.366</v>
      </c>
      <c r="G1297" s="124" t="str">
        <f>_xlfn.CONCAT(_xlfn.XLOOKUP("[S05_InherentCarbonTransferredDetail]["&amp;ROW(B1297)-ROW($B$1219)&amp;"][InherentCO2Received]",Submission!$O:$O,Submission!$H:$N,""))</f>
        <v>1398.257</v>
      </c>
      <c r="H1297" s="71" t="str">
        <f>_xlfn.CONCAT(_xlfn.XLOOKUP("[S05_InherentCarbonTransferredDetail]["&amp;ROW(B1297)-ROW($B$1219)&amp;"][ReceivingInstallationType]",Submission!$O:$O,Submission!$H:$N,""))</f>
        <v>20 - Combustion of fuels as specified in Annex I of Directive 2003/87/EC</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Transfer of inherent CO2 (Article 48)</v>
      </c>
      <c r="D1298" s="72" t="str">
        <f>_xlfn.CONCAT(_xlfn.XLOOKUP("[S05_InherentCarbonTransferredDetail]["&amp;ROW(B1298)-ROW($B$1219)&amp;"][InstallationIdTransferring]",Submission!$O:$O,Submission!$H:$N,""))</f>
        <v>2929</v>
      </c>
      <c r="E1298" s="72" t="str">
        <f>_xlfn.CONCAT(_xlfn.XLOOKUP("[S05_InherentCarbonTransferredDetail]["&amp;ROW(B1298)-ROW($B$1219)&amp;"][InstallationIdReceiving]",Submission!$O:$O,Submission!$H:$N,""))</f>
        <v>2756</v>
      </c>
      <c r="F1298" s="124" t="str">
        <f>_xlfn.CONCAT(_xlfn.XLOOKUP("[S05_InherentCarbonTransferredDetail]["&amp;ROW(B1298)-ROW($B$1219)&amp;"][AmountCO2Transferred]",Submission!$O:$O,Submission!$H:$N,""))</f>
        <v>149985.355</v>
      </c>
      <c r="G1298" s="124" t="str">
        <f>_xlfn.CONCAT(_xlfn.XLOOKUP("[S05_InherentCarbonTransferredDetail]["&amp;ROW(B1298)-ROW($B$1219)&amp;"][InherentCO2Received]",Submission!$O:$O,Submission!$H:$N,""))</f>
        <v>149985.355</v>
      </c>
      <c r="H1298" s="71" t="str">
        <f>_xlfn.CONCAT(_xlfn.XLOOKUP("[S05_InherentCarbonTransferredDetail]["&amp;ROW(B1298)-ROW($B$1219)&amp;"][ReceivingInstallationType]",Submission!$O:$O,Submission!$H:$N,""))</f>
        <v xml:space="preserve">41 - Production of ammonia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Transfer of inherent CO2 (Article 48)</v>
      </c>
      <c r="D1299" s="72" t="str">
        <f>_xlfn.CONCAT(_xlfn.XLOOKUP("[S05_InherentCarbonTransferredDetail]["&amp;ROW(B1299)-ROW($B$1219)&amp;"][InstallationIdTransferring]",Submission!$O:$O,Submission!$H:$N,""))</f>
        <v>2929</v>
      </c>
      <c r="E1299" s="72" t="str">
        <f>_xlfn.CONCAT(_xlfn.XLOOKUP("[S05_InherentCarbonTransferredDetail]["&amp;ROW(B1299)-ROW($B$1219)&amp;"][InstallationIdReceiving]",Submission!$O:$O,Submission!$H:$N,""))</f>
        <v>2816</v>
      </c>
      <c r="F1299" s="124" t="str">
        <f>_xlfn.CONCAT(_xlfn.XLOOKUP("[S05_InherentCarbonTransferredDetail]["&amp;ROW(B1299)-ROW($B$1219)&amp;"][AmountCO2Transferred]",Submission!$O:$O,Submission!$H:$N,""))</f>
        <v>536789.257</v>
      </c>
      <c r="G1299" s="124" t="str">
        <f>_xlfn.CONCAT(_xlfn.XLOOKUP("[S05_InherentCarbonTransferredDetail]["&amp;ROW(B1299)-ROW($B$1219)&amp;"][InherentCO2Received]",Submission!$O:$O,Submission!$H:$N,""))</f>
        <v>536789</v>
      </c>
      <c r="H1299" s="71" t="str">
        <f>_xlfn.CONCAT(_xlfn.XLOOKUP("[S05_InherentCarbonTransferredDetail]["&amp;ROW(B1299)-ROW($B$1219)&amp;"][ReceivingInstallationType]",Submission!$O:$O,Submission!$H:$N,""))</f>
        <v xml:space="preserve">42 - Production of bulk organic chemicals as specified in Annex I of Directive 2003/87/EC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Transfer of inherent CO2 (Article 48)</v>
      </c>
      <c r="D1300" s="72" t="str">
        <f>_xlfn.CONCAT(_xlfn.XLOOKUP("[S05_InherentCarbonTransferredDetail]["&amp;ROW(B1300)-ROW($B$1219)&amp;"][InstallationIdTransferring]",Submission!$O:$O,Submission!$H:$N,""))</f>
        <v>2550</v>
      </c>
      <c r="E1300" s="72" t="str">
        <f>_xlfn.CONCAT(_xlfn.XLOOKUP("[S05_InherentCarbonTransferredDetail]["&amp;ROW(B1300)-ROW($B$1219)&amp;"][InstallationIdReceiving]",Submission!$O:$O,Submission!$H:$N,""))</f>
        <v>2556</v>
      </c>
      <c r="F1300" s="124" t="str">
        <f>_xlfn.CONCAT(_xlfn.XLOOKUP("[S05_InherentCarbonTransferredDetail]["&amp;ROW(B1300)-ROW($B$1219)&amp;"][AmountCO2Transferred]",Submission!$O:$O,Submission!$H:$N,""))</f>
        <v>27491.666</v>
      </c>
      <c r="G1300" s="124" t="str">
        <f>_xlfn.CONCAT(_xlfn.XLOOKUP("[S05_InherentCarbonTransferredDetail]["&amp;ROW(B1300)-ROW($B$1219)&amp;"][InherentCO2Received]",Submission!$O:$O,Submission!$H:$N,""))</f>
        <v>27491.666</v>
      </c>
      <c r="H1300" s="71" t="str">
        <f>_xlfn.CONCAT(_xlfn.XLOOKUP("[S05_InherentCarbonTransferredDetail]["&amp;ROW(B1300)-ROW($B$1219)&amp;"][ReceivingInstallationType]",Submission!$O:$O,Submission!$H:$N,""))</f>
        <v>20 - Combustion of fuels as specified in Annex I of Directive 2003/87/EC</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Transfer of inherent CO2 (Article 48)</v>
      </c>
      <c r="D1301" s="72" t="str">
        <f>_xlfn.CONCAT(_xlfn.XLOOKUP("[S05_InherentCarbonTransferredDetail]["&amp;ROW(B1301)-ROW($B$1219)&amp;"][InstallationIdTransferring]",Submission!$O:$O,Submission!$H:$N,""))</f>
        <v>2572</v>
      </c>
      <c r="E1301" s="72" t="str">
        <f>_xlfn.CONCAT(_xlfn.XLOOKUP("[S05_InherentCarbonTransferredDetail]["&amp;ROW(B1301)-ROW($B$1219)&amp;"][InstallationIdReceiving]",Submission!$O:$O,Submission!$H:$N,""))</f>
        <v>2571</v>
      </c>
      <c r="F1301" s="124" t="str">
        <f>_xlfn.CONCAT(_xlfn.XLOOKUP("[S05_InherentCarbonTransferredDetail]["&amp;ROW(B1301)-ROW($B$1219)&amp;"][AmountCO2Transferred]",Submission!$O:$O,Submission!$H:$N,""))</f>
        <v>56119.322</v>
      </c>
      <c r="G1301" s="124" t="str">
        <f>_xlfn.CONCAT(_xlfn.XLOOKUP("[S05_InherentCarbonTransferredDetail]["&amp;ROW(B1301)-ROW($B$1219)&amp;"][InherentCO2Received]",Submission!$O:$O,Submission!$H:$N,""))</f>
        <v>56119.322</v>
      </c>
      <c r="H1301" s="71" t="str">
        <f>_xlfn.CONCAT(_xlfn.XLOOKUP("[S05_InherentCarbonTransferredDetail]["&amp;ROW(B1301)-ROW($B$1219)&amp;"][ReceivingInstallationType]",Submission!$O:$O,Submission!$H:$N,""))</f>
        <v>20 - Combustion of fuels as specified in Annex I of Directive 2003/87/EC</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1000</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656151</v>
      </c>
      <c r="H1327" s="127" t="str">
        <f>_xlfn.CONCAT(_xlfn.XLOOKUP("[S05_ContinuousEmissionsMeasurementDetail][1][ContinuousMeasurementTotalEmissions]",Submission!$O:$O,Submission!$H:$N,""))</f>
        <v>271182</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1002</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1016652</v>
      </c>
      <c r="H1328" s="127" t="str">
        <f>_xlfn.CONCAT(_xlfn.XLOOKUP("[S05_ContinuousEmissionsMeasurementDetail][2][ContinuousMeasurementTotalEmissions]",Submission!$O:$O,Submission!$H:$N,""))</f>
        <v>244199</v>
      </c>
      <c r="I1328" s="72" t="str">
        <f>_xlfn.CONCAT(_xlfn.XLOOKUP("[S05_ContinuousEmissionsMeasurementDetail][2][FlueGasContainBiomass]",Submission!$O:$O,Submission!$H:$N,""))</f>
        <v>No</v>
      </c>
    </row>
    <row r="1329" spans="1:9" ht="15.9" customHeight="1" x14ac:dyDescent="0.3">
      <c r="A1329" s="13"/>
      <c r="B1329" s="23"/>
      <c r="C1329" s="284" t="str">
        <f>_xlfn.CONCAT(_xlfn.XLOOKUP("[S05_ContinuousEmissionsMeasurementDetail][3][InstallationIDCO2]",Submission!$O:$O,Submission!$H:$N,""))</f>
        <v>1004</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1108174</v>
      </c>
      <c r="H1329" s="127" t="str">
        <f>_xlfn.CONCAT(_xlfn.XLOOKUP("[S05_ContinuousEmissionsMeasurementDetail][3][ContinuousMeasurementTotalEmissions]",Submission!$O:$O,Submission!$H:$N,""))</f>
        <v>50444</v>
      </c>
      <c r="I1329" s="72" t="str">
        <f>_xlfn.CONCAT(_xlfn.XLOOKUP("[S05_ContinuousEmissionsMeasurementDetail][3][FlueGasContainBiomass]",Submission!$O:$O,Submission!$H:$N,""))</f>
        <v>No</v>
      </c>
    </row>
    <row r="1330" spans="1:9" ht="15.9" customHeight="1" x14ac:dyDescent="0.3">
      <c r="A1330" s="13"/>
      <c r="B1330" s="23"/>
      <c r="C1330" s="284" t="str">
        <f>_xlfn.CONCAT(_xlfn.XLOOKUP("[S05_ContinuousEmissionsMeasurementDetail][4][InstallationIDCO2]",Submission!$O:$O,Submission!$H:$N,""))</f>
        <v>1006</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859063</v>
      </c>
      <c r="H1330" s="127" t="str">
        <f>_xlfn.CONCAT(_xlfn.XLOOKUP("[S05_ContinuousEmissionsMeasurementDetail][4][ContinuousMeasurementTotalEmissions]",Submission!$O:$O,Submission!$H:$N,""))</f>
        <v>216166</v>
      </c>
      <c r="I1330" s="72" t="str">
        <f>_xlfn.CONCAT(_xlfn.XLOOKUP("[S05_ContinuousEmissionsMeasurementDetail][4][FlueGasContainBiomass]",Submission!$O:$O,Submission!$H:$N,""))</f>
        <v>No</v>
      </c>
    </row>
    <row r="1331" spans="1:9" ht="15.9" customHeight="1" x14ac:dyDescent="0.3">
      <c r="A1331" s="13"/>
      <c r="B1331" s="23"/>
      <c r="C1331" s="284" t="str">
        <f>_xlfn.CONCAT(_xlfn.XLOOKUP("[S05_ContinuousEmissionsMeasurementDetail][5][InstallationIDCO2]",Submission!$O:$O,Submission!$H:$N,""))</f>
        <v>1007</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357267</v>
      </c>
      <c r="H1331" s="127" t="str">
        <f>_xlfn.CONCAT(_xlfn.XLOOKUP("[S05_ContinuousEmissionsMeasurementDetail][5][ContinuousMeasurementTotalEmissions]",Submission!$O:$O,Submission!$H:$N,""))</f>
        <v>4</v>
      </c>
      <c r="I1331" s="72" t="str">
        <f>_xlfn.CONCAT(_xlfn.XLOOKUP("[S05_ContinuousEmissionsMeasurementDetail][5][FlueGasContainBiomass]",Submission!$O:$O,Submission!$H:$N,""))</f>
        <v>No</v>
      </c>
    </row>
    <row r="1332" spans="1:9" ht="15.9" customHeight="1" x14ac:dyDescent="0.3">
      <c r="A1332" s="13"/>
      <c r="B1332" s="23"/>
      <c r="C1332" s="284" t="str">
        <f>_xlfn.CONCAT(_xlfn.XLOOKUP("[S05_ContinuousEmissionsMeasurementDetail][6][InstallationIDCO2]",Submission!$O:$O,Submission!$H:$N,""))</f>
        <v>1009</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2456398</v>
      </c>
      <c r="H1332" s="127" t="str">
        <f>_xlfn.CONCAT(_xlfn.XLOOKUP("[S05_ContinuousEmissionsMeasurementDetail][6][ContinuousMeasurementTotalEmissions]",Submission!$O:$O,Submission!$H:$N,""))</f>
        <v>606469</v>
      </c>
      <c r="I1332" s="72" t="str">
        <f>_xlfn.CONCAT(_xlfn.XLOOKUP("[S05_ContinuousEmissionsMeasurementDetail][6][FlueGasContainBiomass]",Submission!$O:$O,Submission!$H:$N,""))</f>
        <v>No</v>
      </c>
    </row>
    <row r="1333" spans="1:9" ht="15.9" customHeight="1" x14ac:dyDescent="0.3">
      <c r="A1333" s="13"/>
      <c r="B1333" s="23"/>
      <c r="C1333" s="284" t="str">
        <f>_xlfn.CONCAT(_xlfn.XLOOKUP("[S05_ContinuousEmissionsMeasurementDetail][7][InstallationIDCO2]",Submission!$O:$O,Submission!$H:$N,""))</f>
        <v>1012</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1067158</v>
      </c>
      <c r="H1333" s="127" t="str">
        <f>_xlfn.CONCAT(_xlfn.XLOOKUP("[S05_ContinuousEmissionsMeasurementDetail][7][ContinuousMeasurementTotalEmissions]",Submission!$O:$O,Submission!$H:$N,""))</f>
        <v>48541</v>
      </c>
      <c r="I1333" s="72" t="str">
        <f>_xlfn.CONCAT(_xlfn.XLOOKUP("[S05_ContinuousEmissionsMeasurementDetail][7][FlueGasContainBiomass]",Submission!$O:$O,Submission!$H:$N,""))</f>
        <v>No</v>
      </c>
    </row>
    <row r="1334" spans="1:9" ht="15.9" customHeight="1" x14ac:dyDescent="0.3">
      <c r="A1334" s="13"/>
      <c r="B1334" s="23"/>
      <c r="C1334" s="284" t="str">
        <f>_xlfn.CONCAT(_xlfn.XLOOKUP("[S05_ContinuousEmissionsMeasurementDetail][8][InstallationIDCO2]",Submission!$O:$O,Submission!$H:$N,""))</f>
        <v>1013</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3480163</v>
      </c>
      <c r="H1334" s="127" t="str">
        <f>_xlfn.CONCAT(_xlfn.XLOOKUP("[S05_ContinuousEmissionsMeasurementDetail][8][ContinuousMeasurementTotalEmissions]",Submission!$O:$O,Submission!$H:$N,""))</f>
        <v>471067</v>
      </c>
      <c r="I1334" s="72" t="str">
        <f>_xlfn.CONCAT(_xlfn.XLOOKUP("[S05_ContinuousEmissionsMeasurementDetail][8][FlueGasContainBiomass]",Submission!$O:$O,Submission!$H:$N,""))</f>
        <v>No</v>
      </c>
    </row>
    <row r="1335" spans="1:9" ht="15.9" hidden="1" customHeight="1" outlineLevel="1" x14ac:dyDescent="0.3">
      <c r="A1335" s="13"/>
      <c r="B1335" s="23"/>
      <c r="C1335" s="284" t="str">
        <f>_xlfn.CONCAT(_xlfn.XLOOKUP("[S05_ContinuousEmissionsMeasurementDetail][9][InstallationIDCO2]",Submission!$O:$O,Submission!$H:$N,""))</f>
        <v>1014</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1600337</v>
      </c>
      <c r="H1335" s="127" t="str">
        <f>_xlfn.CONCAT(_xlfn.XLOOKUP("[S05_ContinuousEmissionsMeasurementDetail][9][ContinuousMeasurementTotalEmissions]",Submission!$O:$O,Submission!$H:$N,""))</f>
        <v>371764</v>
      </c>
      <c r="I1335" s="72" t="str">
        <f>_xlfn.CONCAT(_xlfn.XLOOKUP("[S05_ContinuousEmissionsMeasurementDetail][9][FlueGasContainBiomass]",Submission!$O:$O,Submission!$H:$N,""))</f>
        <v>No</v>
      </c>
    </row>
    <row r="1336" spans="1:9" ht="15.9" hidden="1" customHeight="1" outlineLevel="1" x14ac:dyDescent="0.3">
      <c r="A1336" s="13"/>
      <c r="B1336" s="23"/>
      <c r="C1336" s="284" t="str">
        <f>_xlfn.CONCAT(_xlfn.XLOOKUP("[S05_ContinuousEmissionsMeasurementDetail][10][InstallationIDCO2]",Submission!$O:$O,Submission!$H:$N,""))</f>
        <v>1015</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739644</v>
      </c>
      <c r="H1336" s="127" t="str">
        <f>_xlfn.CONCAT(_xlfn.XLOOKUP("[S05_ContinuousEmissionsMeasurementDetail][10][ContinuousMeasurementTotalEmissions]",Submission!$O:$O,Submission!$H:$N,""))</f>
        <v>122382</v>
      </c>
      <c r="I1336" s="72" t="str">
        <f>_xlfn.CONCAT(_xlfn.XLOOKUP("[S05_ContinuousEmissionsMeasurementDetail][10][FlueGasContainBiomass]",Submission!$O:$O,Submission!$H:$N,""))</f>
        <v>No</v>
      </c>
    </row>
    <row r="1337" spans="1:9" ht="15.9" hidden="1" customHeight="1" outlineLevel="1" x14ac:dyDescent="0.3">
      <c r="A1337" s="13"/>
      <c r="B1337" s="23"/>
      <c r="C1337" s="284" t="str">
        <f>_xlfn.CONCAT(_xlfn.XLOOKUP("[S05_ContinuousEmissionsMeasurementDetail][11][InstallationIDCO2]",Submission!$O:$O,Submission!$H:$N,""))</f>
        <v>2003</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74329</v>
      </c>
      <c r="H1337" s="127" t="str">
        <f>_xlfn.CONCAT(_xlfn.XLOOKUP("[S05_ContinuousEmissionsMeasurementDetail][11][ContinuousMeasurementTotalEmissions]",Submission!$O:$O,Submission!$H:$N,""))</f>
        <v>74327</v>
      </c>
      <c r="I1337" s="72" t="str">
        <f>_xlfn.CONCAT(_xlfn.XLOOKUP("[S05_ContinuousEmissionsMeasurementDetail][11][FlueGasContainBiomass]",Submission!$O:$O,Submission!$H:$N,""))</f>
        <v>No</v>
      </c>
    </row>
    <row r="1338" spans="1:9" ht="15.9" hidden="1" customHeight="1" outlineLevel="1" x14ac:dyDescent="0.3">
      <c r="A1338" s="13"/>
      <c r="B1338" s="23"/>
      <c r="C1338" s="284" t="str">
        <f>_xlfn.CONCAT(_xlfn.XLOOKUP("[S05_ContinuousEmissionsMeasurementDetail][12][InstallationIDCO2]",Submission!$O:$O,Submission!$H:$N,""))</f>
        <v>2261</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6974582</v>
      </c>
      <c r="H1338" s="127" t="str">
        <f>_xlfn.CONCAT(_xlfn.XLOOKUP("[S05_ContinuousEmissionsMeasurementDetail][12][ContinuousMeasurementTotalEmissions]",Submission!$O:$O,Submission!$H:$N,""))</f>
        <v>6909405</v>
      </c>
      <c r="I1338" s="72" t="str">
        <f>_xlfn.CONCAT(_xlfn.XLOOKUP("[S05_ContinuousEmissionsMeasurementDetail][12][FlueGasContainBiomass]",Submission!$O:$O,Submission!$H:$N,""))</f>
        <v>Yes</v>
      </c>
    </row>
    <row r="1339" spans="1:9" ht="15.9" hidden="1" customHeight="1" outlineLevel="1" x14ac:dyDescent="0.3">
      <c r="A1339" s="13"/>
      <c r="B1339" s="23"/>
      <c r="C1339" s="284" t="str">
        <f>_xlfn.CONCAT(_xlfn.XLOOKUP("[S05_ContinuousEmissionsMeasurementDetail][13][InstallationIDCO2]",Submission!$O:$O,Submission!$H:$N,""))</f>
        <v>2546</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200083</v>
      </c>
      <c r="H1339" s="127" t="str">
        <f>_xlfn.CONCAT(_xlfn.XLOOKUP("[S05_ContinuousEmissionsMeasurementDetail][13][ContinuousMeasurementTotalEmissions]",Submission!$O:$O,Submission!$H:$N,""))</f>
        <v>199743</v>
      </c>
      <c r="I1339" s="72" t="str">
        <f>_xlfn.CONCAT(_xlfn.XLOOKUP("[S05_ContinuousEmissionsMeasurementDetail][13][FlueGasContainBiomass]",Submission!$O:$O,Submission!$H:$N,""))</f>
        <v>No</v>
      </c>
    </row>
    <row r="1340" spans="1:9" ht="15.9" hidden="1" customHeight="1" outlineLevel="1" x14ac:dyDescent="0.3">
      <c r="A1340" s="13"/>
      <c r="B1340" s="23"/>
      <c r="C1340" s="284" t="str">
        <f>_xlfn.CONCAT(_xlfn.XLOOKUP("[S05_ContinuousEmissionsMeasurementDetail][14][InstallationIDCO2]",Submission!$O:$O,Submission!$H:$N,""))</f>
        <v>2550</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364</v>
      </c>
      <c r="H1340" s="127" t="str">
        <f>_xlfn.CONCAT(_xlfn.XLOOKUP("[S05_ContinuousEmissionsMeasurementDetail][14][ContinuousMeasurementTotalEmissions]",Submission!$O:$O,Submission!$H:$N,""))</f>
        <v>27492</v>
      </c>
      <c r="I1340" s="72" t="str">
        <f>_xlfn.CONCAT(_xlfn.XLOOKUP("[S05_ContinuousEmissionsMeasurementDetail][14][FlueGasContainBiomass]",Submission!$O:$O,Submission!$H:$N,""))</f>
        <v>No</v>
      </c>
    </row>
    <row r="1341" spans="1:9" ht="15.9" hidden="1" customHeight="1" outlineLevel="1" x14ac:dyDescent="0.3">
      <c r="A1341" s="13"/>
      <c r="B1341" s="23"/>
      <c r="C1341" s="284" t="str">
        <f>_xlfn.CONCAT(_xlfn.XLOOKUP("[S05_ContinuousEmissionsMeasurementDetail][15][InstallationIDCO2]",Submission!$O:$O,Submission!$H:$N,""))</f>
        <v>2556</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27788</v>
      </c>
      <c r="H1341" s="127" t="str">
        <f>_xlfn.CONCAT(_xlfn.XLOOKUP("[S05_ContinuousEmissionsMeasurementDetail][15][ContinuousMeasurementTotalEmissions]",Submission!$O:$O,Submission!$H:$N,""))</f>
        <v>27492</v>
      </c>
      <c r="I1341" s="72" t="str">
        <f>_xlfn.CONCAT(_xlfn.XLOOKUP("[S05_ContinuousEmissionsMeasurementDetail][15][FlueGasContainBiomass]",Submission!$O:$O,Submission!$H:$N,""))</f>
        <v>No</v>
      </c>
    </row>
    <row r="1342" spans="1:9" ht="15.9" hidden="1" customHeight="1" outlineLevel="1" x14ac:dyDescent="0.3">
      <c r="A1342" s="13"/>
      <c r="B1342" s="23"/>
      <c r="C1342" s="284" t="str">
        <f>_xlfn.CONCAT(_xlfn.XLOOKUP("[S05_ContinuousEmissionsMeasurementDetail][16][InstallationIDCO2]",Submission!$O:$O,Submission!$H:$N,""))</f>
        <v>2568</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69393</v>
      </c>
      <c r="H1342" s="127" t="str">
        <f>_xlfn.CONCAT(_xlfn.XLOOKUP("[S05_ContinuousEmissionsMeasurementDetail][16][ContinuousMeasurementTotalEmissions]",Submission!$O:$O,Submission!$H:$N,""))</f>
        <v>68587</v>
      </c>
      <c r="I1342" s="72" t="str">
        <f>_xlfn.CONCAT(_xlfn.XLOOKUP("[S05_ContinuousEmissionsMeasurementDetail][16][FlueGasContainBiomass]",Submission!$O:$O,Submission!$H:$N,""))</f>
        <v>No</v>
      </c>
    </row>
    <row r="1343" spans="1:9" ht="15.9" hidden="1" customHeight="1" outlineLevel="1" x14ac:dyDescent="0.3">
      <c r="A1343" s="13"/>
      <c r="B1343" s="23"/>
      <c r="C1343" s="284" t="str">
        <f>_xlfn.CONCAT(_xlfn.XLOOKUP("[S05_ContinuousEmissionsMeasurementDetail][17][InstallationIDCO2]",Submission!$O:$O,Submission!$H:$N,""))</f>
        <v>2571</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56283</v>
      </c>
      <c r="H1343" s="127" t="str">
        <f>_xlfn.CONCAT(_xlfn.XLOOKUP("[S05_ContinuousEmissionsMeasurementDetail][17][ContinuousMeasurementTotalEmissions]",Submission!$O:$O,Submission!$H:$N,""))</f>
        <v>56119</v>
      </c>
      <c r="I1343" s="72" t="str">
        <f>_xlfn.CONCAT(_xlfn.XLOOKUP("[S05_ContinuousEmissionsMeasurementDetail][17][FlueGasContainBiomass]",Submission!$O:$O,Submission!$H:$N,""))</f>
        <v>No</v>
      </c>
    </row>
    <row r="1344" spans="1:9" ht="15.9" hidden="1" customHeight="1" outlineLevel="1" x14ac:dyDescent="0.3">
      <c r="A1344" s="13"/>
      <c r="B1344" s="23"/>
      <c r="C1344" s="284" t="str">
        <f>_xlfn.CONCAT(_xlfn.XLOOKUP("[S05_ContinuousEmissionsMeasurementDetail][18][InstallationIDCO2]",Submission!$O:$O,Submission!$H:$N,""))</f>
        <v>2572</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3612</v>
      </c>
      <c r="H1344" s="127" t="str">
        <f>_xlfn.CONCAT(_xlfn.XLOOKUP("[S05_ContinuousEmissionsMeasurementDetail][18][ContinuousMeasurementTotalEmissions]",Submission!$O:$O,Submission!$H:$N,""))</f>
        <v>56119</v>
      </c>
      <c r="I1344" s="72" t="str">
        <f>_xlfn.CONCAT(_xlfn.XLOOKUP("[S05_ContinuousEmissionsMeasurementDetail][18][FlueGasContainBiomass]",Submission!$O:$O,Submission!$H:$N,""))</f>
        <v>No</v>
      </c>
    </row>
    <row r="1345" spans="1:9" ht="15.9" hidden="1" customHeight="1" outlineLevel="1" x14ac:dyDescent="0.3">
      <c r="A1345" s="13"/>
      <c r="B1345" s="23"/>
      <c r="C1345" s="284" t="str">
        <f>_xlfn.CONCAT(_xlfn.XLOOKUP("[S05_ContinuousEmissionsMeasurementDetail][19][InstallationIDCO2]",Submission!$O:$O,Submission!$H:$N,""))</f>
        <v>2602</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21961</v>
      </c>
      <c r="H1345" s="127" t="str">
        <f>_xlfn.CONCAT(_xlfn.XLOOKUP("[S05_ContinuousEmissionsMeasurementDetail][19][ContinuousMeasurementTotalEmissions]",Submission!$O:$O,Submission!$H:$N,""))</f>
        <v>21961</v>
      </c>
      <c r="I1345" s="72" t="str">
        <f>_xlfn.CONCAT(_xlfn.XLOOKUP("[S05_ContinuousEmissionsMeasurementDetail][19][FlueGasContainBiomass]",Submission!$O:$O,Submission!$H:$N,""))</f>
        <v>No</v>
      </c>
    </row>
    <row r="1346" spans="1:9" ht="15.9" hidden="1" customHeight="1" outlineLevel="1" x14ac:dyDescent="0.3">
      <c r="A1346" s="13"/>
      <c r="B1346" s="23"/>
      <c r="C1346" s="284" t="str">
        <f>_xlfn.CONCAT(_xlfn.XLOOKUP("[S05_ContinuousEmissionsMeasurementDetail][20][InstallationIDCO2]",Submission!$O:$O,Submission!$H:$N,""))</f>
        <v>2746</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35650</v>
      </c>
      <c r="H1346" s="127" t="str">
        <f>_xlfn.CONCAT(_xlfn.XLOOKUP("[S05_ContinuousEmissionsMeasurementDetail][20][ContinuousMeasurementTotalEmissions]",Submission!$O:$O,Submission!$H:$N,""))</f>
        <v>7381</v>
      </c>
      <c r="I1346" s="72" t="str">
        <f>_xlfn.CONCAT(_xlfn.XLOOKUP("[S05_ContinuousEmissionsMeasurementDetail][20][FlueGasContainBiomass]",Submission!$O:$O,Submission!$H:$N,""))</f>
        <v>No</v>
      </c>
    </row>
    <row r="1347" spans="1:9" ht="15.9" hidden="1" customHeight="1" outlineLevel="1" x14ac:dyDescent="0.3">
      <c r="A1347" s="13"/>
      <c r="B1347" s="23"/>
      <c r="C1347" s="284" t="str">
        <f>_xlfn.CONCAT(_xlfn.XLOOKUP("[S05_ContinuousEmissionsMeasurementDetail][21][InstallationIDCO2]",Submission!$O:$O,Submission!$H:$N,""))</f>
        <v>2758</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6798</v>
      </c>
      <c r="H1347" s="127" t="str">
        <f>_xlfn.CONCAT(_xlfn.XLOOKUP("[S05_ContinuousEmissionsMeasurementDetail][21][ContinuousMeasurementTotalEmissions]",Submission!$O:$O,Submission!$H:$N,""))</f>
        <v>3512</v>
      </c>
      <c r="I1347" s="72" t="str">
        <f>_xlfn.CONCAT(_xlfn.XLOOKUP("[S05_ContinuousEmissionsMeasurementDetail][21][FlueGasContainBiomass]",Submission!$O:$O,Submission!$H:$N,""))</f>
        <v>No</v>
      </c>
    </row>
    <row r="1348" spans="1:9" ht="15.9" hidden="1" customHeight="1" outlineLevel="1" x14ac:dyDescent="0.3">
      <c r="A1348" s="13"/>
      <c r="B1348" s="23"/>
      <c r="C1348" s="284" t="str">
        <f>_xlfn.CONCAT(_xlfn.XLOOKUP("[S05_ContinuousEmissionsMeasurementDetail][22][InstallationIDCO2]",Submission!$O:$O,Submission!$H:$N,""))</f>
        <v>2786</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30361</v>
      </c>
      <c r="H1348" s="127" t="str">
        <f>_xlfn.CONCAT(_xlfn.XLOOKUP("[S05_ContinuousEmissionsMeasurementDetail][22][ContinuousMeasurementTotalEmissions]",Submission!$O:$O,Submission!$H:$N,""))</f>
        <v>12096</v>
      </c>
      <c r="I1348" s="72" t="str">
        <f>_xlfn.CONCAT(_xlfn.XLOOKUP("[S05_ContinuousEmissionsMeasurementDetail][22][FlueGasContainBiomass]",Submission!$O:$O,Submission!$H:$N,""))</f>
        <v>No</v>
      </c>
    </row>
    <row r="1349" spans="1:9" ht="15.9" hidden="1" customHeight="1" outlineLevel="1" x14ac:dyDescent="0.3">
      <c r="A1349" s="13"/>
      <c r="B1349" s="23"/>
      <c r="C1349" s="284" t="str">
        <f>_xlfn.CONCAT(_xlfn.XLOOKUP("[S05_ContinuousEmissionsMeasurementDetail][23][InstallationIDCO2]",Submission!$O:$O,Submission!$H:$N,""))</f>
        <v>2804</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65081</v>
      </c>
      <c r="H1349" s="127" t="str">
        <f>_xlfn.CONCAT(_xlfn.XLOOKUP("[S05_ContinuousEmissionsMeasurementDetail][23][ContinuousMeasurementTotalEmissions]",Submission!$O:$O,Submission!$H:$N,""))</f>
        <v>19364</v>
      </c>
      <c r="I1349" s="72" t="str">
        <f>_xlfn.CONCAT(_xlfn.XLOOKUP("[S05_ContinuousEmissionsMeasurementDetail][23][FlueGasContainBiomass]",Submission!$O:$O,Submission!$H:$N,""))</f>
        <v>No</v>
      </c>
    </row>
    <row r="1350" spans="1:9" ht="15.9" hidden="1" customHeight="1" outlineLevel="1" x14ac:dyDescent="0.3">
      <c r="A1350" s="13"/>
      <c r="B1350" s="23"/>
      <c r="C1350" s="284" t="str">
        <f>_xlfn.CONCAT(_xlfn.XLOOKUP("[S05_ContinuousEmissionsMeasurementDetail][24][InstallationIDCO2]",Submission!$O:$O,Submission!$H:$N,""))</f>
        <v>2847</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9722</v>
      </c>
      <c r="H1350" s="127" t="str">
        <f>_xlfn.CONCAT(_xlfn.XLOOKUP("[S05_ContinuousEmissionsMeasurementDetail][24][ContinuousMeasurementTotalEmissions]",Submission!$O:$O,Submission!$H:$N,""))</f>
        <v>8750</v>
      </c>
      <c r="I1350" s="72" t="str">
        <f>_xlfn.CONCAT(_xlfn.XLOOKUP("[S05_ContinuousEmissionsMeasurementDetail][24][FlueGasContainBiomass]",Submission!$O:$O,Submission!$H:$N,""))</f>
        <v>No</v>
      </c>
    </row>
    <row r="1351" spans="1:9" ht="15.9" hidden="1" customHeight="1" outlineLevel="1" x14ac:dyDescent="0.3">
      <c r="A1351" s="13"/>
      <c r="B1351" s="23"/>
      <c r="C1351" s="284" t="str">
        <f>_xlfn.CONCAT(_xlfn.XLOOKUP("[S05_ContinuousEmissionsMeasurementDetail][25][InstallationIDCO2]",Submission!$O:$O,Submission!$H:$N,""))</f>
        <v>2858</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88433</v>
      </c>
      <c r="H1351" s="127" t="str">
        <f>_xlfn.CONCAT(_xlfn.XLOOKUP("[S05_ContinuousEmissionsMeasurementDetail][25][ContinuousMeasurementTotalEmissions]",Submission!$O:$O,Submission!$H:$N,""))</f>
        <v>86456</v>
      </c>
      <c r="I1351" s="72" t="str">
        <f>_xlfn.CONCAT(_xlfn.XLOOKUP("[S05_ContinuousEmissionsMeasurementDetail][25][FlueGasContainBiomass]",Submission!$O:$O,Submission!$H:$N,""))</f>
        <v>No</v>
      </c>
    </row>
    <row r="1352" spans="1:9" ht="15.9" hidden="1" customHeight="1" outlineLevel="1" x14ac:dyDescent="0.3">
      <c r="A1352" s="13"/>
      <c r="B1352" s="23"/>
      <c r="C1352" s="284" t="str">
        <f>_xlfn.CONCAT(_xlfn.XLOOKUP("[S05_ContinuousEmissionsMeasurementDetail][26][InstallationIDCO2]",Submission!$O:$O,Submission!$H:$N,""))</f>
        <v>2859</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81816</v>
      </c>
      <c r="H1352" s="127" t="str">
        <f>_xlfn.CONCAT(_xlfn.XLOOKUP("[S05_ContinuousEmissionsMeasurementDetail][26][ContinuousMeasurementTotalEmissions]",Submission!$O:$O,Submission!$H:$N,""))</f>
        <v>74390</v>
      </c>
      <c r="I1352" s="72" t="str">
        <f>_xlfn.CONCAT(_xlfn.XLOOKUP("[S05_ContinuousEmissionsMeasurementDetail][26][FlueGasContainBiomass]",Submission!$O:$O,Submission!$H:$N,""))</f>
        <v>No</v>
      </c>
    </row>
    <row r="1353" spans="1:9" ht="15.9" hidden="1" customHeight="1" outlineLevel="1" x14ac:dyDescent="0.3">
      <c r="A1353" s="13"/>
      <c r="B1353" s="23"/>
      <c r="C1353" s="284" t="str">
        <f>_xlfn.CONCAT(_xlfn.XLOOKUP("[S05_ContinuousEmissionsMeasurementDetail][27][InstallationIDCO2]",Submission!$O:$O,Submission!$H:$N,""))</f>
        <v>2932</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2575</v>
      </c>
      <c r="H1353" s="127" t="str">
        <f>_xlfn.CONCAT(_xlfn.XLOOKUP("[S05_ContinuousEmissionsMeasurementDetail][27][ContinuousMeasurementTotalEmissions]",Submission!$O:$O,Submission!$H:$N,""))</f>
        <v>2575</v>
      </c>
      <c r="I1353" s="72" t="str">
        <f>_xlfn.CONCAT(_xlfn.XLOOKUP("[S05_ContinuousEmissionsMeasurementDetail][27][FlueGasContainBiomass]",Submission!$O:$O,Submission!$H:$N,""))</f>
        <v>Yes</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2741</v>
      </c>
      <c r="F1354" s="285"/>
      <c r="G1354" s="127" t="str">
        <f>_xlfn.CONCAT(_xlfn.XLOOKUP("[S05_ContinuousEmissionsMeasurementDetail][28][TotalEmissionsCO2E]",Submission!$O:$O,Submission!$H:$N,""))</f>
        <v>33254</v>
      </c>
      <c r="H1354" s="127" t="str">
        <f>_xlfn.CONCAT(_xlfn.XLOOKUP("[S05_ContinuousEmissionsMeasurementDetail][28][ContinuousMeasurementTotalEmissions]",Submission!$O:$O,Submission!$H:$N,""))</f>
        <v>33254</v>
      </c>
      <c r="I1354" s="72" t="str">
        <f>_xlfn.CONCAT(_xlfn.XLOOKUP("[S05_ContinuousEmissionsMeasurementDetail][28][FlueGasContainBiomass]",Submission!$O:$O,Submission!$H:$N,""))</f>
        <v>No</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2742</v>
      </c>
      <c r="F1355" s="285"/>
      <c r="G1355" s="127" t="str">
        <f>_xlfn.CONCAT(_xlfn.XLOOKUP("[S05_ContinuousEmissionsMeasurementDetail][29][TotalEmissionsCO2E]",Submission!$O:$O,Submission!$H:$N,""))</f>
        <v>169763</v>
      </c>
      <c r="H1355" s="127" t="str">
        <f>_xlfn.CONCAT(_xlfn.XLOOKUP("[S05_ContinuousEmissionsMeasurementDetail][29][ContinuousMeasurementTotalEmissions]",Submission!$O:$O,Submission!$H:$N,""))</f>
        <v>166054</v>
      </c>
      <c r="I1355" s="72" t="str">
        <f>_xlfn.CONCAT(_xlfn.XLOOKUP("[S05_ContinuousEmissionsMeasurementDetail][29][FlueGasContainBiomass]",Submission!$O:$O,Submission!$H:$N,""))</f>
        <v>No</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2743</v>
      </c>
      <c r="F1356" s="285"/>
      <c r="G1356" s="127" t="str">
        <f>_xlfn.CONCAT(_xlfn.XLOOKUP("[S05_ContinuousEmissionsMeasurementDetail][30][TotalEmissionsCO2E]",Submission!$O:$O,Submission!$H:$N,""))</f>
        <v>4716</v>
      </c>
      <c r="H1356" s="127" t="str">
        <f>_xlfn.CONCAT(_xlfn.XLOOKUP("[S05_ContinuousEmissionsMeasurementDetail][30][ContinuousMeasurementTotalEmissions]",Submission!$O:$O,Submission!$H:$N,""))</f>
        <v>3810</v>
      </c>
      <c r="I1356" s="72" t="str">
        <f>_xlfn.CONCAT(_xlfn.XLOOKUP("[S05_ContinuousEmissionsMeasurementDetail][30][FlueGasContainBiomass]",Submission!$O:$O,Submission!$H:$N,""))</f>
        <v>No</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2744</v>
      </c>
      <c r="F1357" s="285"/>
      <c r="G1357" s="127" t="str">
        <f>_xlfn.CONCAT(_xlfn.XLOOKUP("[S05_ContinuousEmissionsMeasurementDetail][31][TotalEmissionsCO2E]",Submission!$O:$O,Submission!$H:$N,""))</f>
        <v>12551</v>
      </c>
      <c r="H1357" s="127" t="str">
        <f>_xlfn.CONCAT(_xlfn.XLOOKUP("[S05_ContinuousEmissionsMeasurementDetail][31][ContinuousMeasurementTotalEmissions]",Submission!$O:$O,Submission!$H:$N,""))</f>
        <v>12551</v>
      </c>
      <c r="I1357" s="72" t="str">
        <f>_xlfn.CONCAT(_xlfn.XLOOKUP("[S05_ContinuousEmissionsMeasurementDetail][31][FlueGasContainBiomass]",Submission!$O:$O,Submission!$H:$N,""))</f>
        <v>No</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2745</v>
      </c>
      <c r="F1358" s="285"/>
      <c r="G1358" s="127" t="str">
        <f>_xlfn.CONCAT(_xlfn.XLOOKUP("[S05_ContinuousEmissionsMeasurementDetail][32][TotalEmissionsCO2E]",Submission!$O:$O,Submission!$H:$N,""))</f>
        <v>135116</v>
      </c>
      <c r="H1358" s="127" t="str">
        <f>_xlfn.CONCAT(_xlfn.XLOOKUP("[S05_ContinuousEmissionsMeasurementDetail][32][ContinuousMeasurementTotalEmissions]",Submission!$O:$O,Submission!$H:$N,""))</f>
        <v>129153</v>
      </c>
      <c r="I1358" s="72" t="str">
        <f>_xlfn.CONCAT(_xlfn.XLOOKUP("[S05_ContinuousEmissionsMeasurementDetail][32][FlueGasContainBiomass]",Submission!$O:$O,Submission!$H:$N,""))</f>
        <v>No</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2746</v>
      </c>
      <c r="F1359" s="285"/>
      <c r="G1359" s="127" t="str">
        <f>_xlfn.CONCAT(_xlfn.XLOOKUP("[S05_ContinuousEmissionsMeasurementDetail][33][TotalEmissionsCO2E]",Submission!$O:$O,Submission!$H:$N,""))</f>
        <v>35650</v>
      </c>
      <c r="H1359" s="127" t="str">
        <f>_xlfn.CONCAT(_xlfn.XLOOKUP("[S05_ContinuousEmissionsMeasurementDetail][33][ContinuousMeasurementTotalEmissions]",Submission!$O:$O,Submission!$H:$N,""))</f>
        <v>28269</v>
      </c>
      <c r="I1359" s="72" t="str">
        <f>_xlfn.CONCAT(_xlfn.XLOOKUP("[S05_ContinuousEmissionsMeasurementDetail][33][FlueGasContainBiomass]",Submission!$O:$O,Submission!$H:$N,""))</f>
        <v>No</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2747</v>
      </c>
      <c r="F1360" s="285"/>
      <c r="G1360" s="127" t="str">
        <f>_xlfn.CONCAT(_xlfn.XLOOKUP("[S05_ContinuousEmissionsMeasurementDetail][34][TotalEmissionsCO2E]",Submission!$O:$O,Submission!$H:$N,""))</f>
        <v>0</v>
      </c>
      <c r="H1360" s="127" t="str">
        <f>_xlfn.CONCAT(_xlfn.XLOOKUP("[S05_ContinuousEmissionsMeasurementDetail][34][ContinuousMeasurementTotalEmissions]",Submission!$O:$O,Submission!$H:$N,""))</f>
        <v>0</v>
      </c>
      <c r="I1360" s="72" t="str">
        <f>_xlfn.CONCAT(_xlfn.XLOOKUP("[S05_ContinuousEmissionsMeasurementDetail][34][FlueGasContainBiomass]",Submission!$O:$O,Submission!$H:$N,""))</f>
        <v>No</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2748</v>
      </c>
      <c r="F1361" s="285"/>
      <c r="G1361" s="127" t="str">
        <f>_xlfn.CONCAT(_xlfn.XLOOKUP("[S05_ContinuousEmissionsMeasurementDetail][35][TotalEmissionsCO2E]",Submission!$O:$O,Submission!$H:$N,""))</f>
        <v>6429</v>
      </c>
      <c r="H1361" s="127" t="str">
        <f>_xlfn.CONCAT(_xlfn.XLOOKUP("[S05_ContinuousEmissionsMeasurementDetail][35][ContinuousMeasurementTotalEmissions]",Submission!$O:$O,Submission!$H:$N,""))</f>
        <v>105</v>
      </c>
      <c r="I1361" s="72" t="str">
        <f>_xlfn.CONCAT(_xlfn.XLOOKUP("[S05_ContinuousEmissionsMeasurementDetail][35][FlueGasContainBiomass]",Submission!$O:$O,Submission!$H:$N,""))</f>
        <v>No</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2749</v>
      </c>
      <c r="F1362" s="285"/>
      <c r="G1362" s="127" t="str">
        <f>_xlfn.CONCAT(_xlfn.XLOOKUP("[S05_ContinuousEmissionsMeasurementDetail][36][TotalEmissionsCO2E]",Submission!$O:$O,Submission!$H:$N,""))</f>
        <v>24290</v>
      </c>
      <c r="H1362" s="127" t="str">
        <f>_xlfn.CONCAT(_xlfn.XLOOKUP("[S05_ContinuousEmissionsMeasurementDetail][36][ContinuousMeasurementTotalEmissions]",Submission!$O:$O,Submission!$H:$N,""))</f>
        <v>841</v>
      </c>
      <c r="I1362" s="72" t="str">
        <f>_xlfn.CONCAT(_xlfn.XLOOKUP("[S05_ContinuousEmissionsMeasurementDetail][36][FlueGasContainBiomass]",Submission!$O:$O,Submission!$H:$N,""))</f>
        <v>No</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2750</v>
      </c>
      <c r="F1363" s="285"/>
      <c r="G1363" s="127" t="str">
        <f>_xlfn.CONCAT(_xlfn.XLOOKUP("[S05_ContinuousEmissionsMeasurementDetail][37][TotalEmissionsCO2E]",Submission!$O:$O,Submission!$H:$N,""))</f>
        <v>93303</v>
      </c>
      <c r="H1363" s="127" t="str">
        <f>_xlfn.CONCAT(_xlfn.XLOOKUP("[S05_ContinuousEmissionsMeasurementDetail][37][ContinuousMeasurementTotalEmissions]",Submission!$O:$O,Submission!$H:$N,""))</f>
        <v>32475</v>
      </c>
      <c r="I1363" s="72" t="str">
        <f>_xlfn.CONCAT(_xlfn.XLOOKUP("[S05_ContinuousEmissionsMeasurementDetail][37][FlueGasContainBiomass]",Submission!$O:$O,Submission!$H:$N,""))</f>
        <v>No</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2751</v>
      </c>
      <c r="F1364" s="285"/>
      <c r="G1364" s="127" t="str">
        <f>_xlfn.CONCAT(_xlfn.XLOOKUP("[S05_ContinuousEmissionsMeasurementDetail][38][TotalEmissionsCO2E]",Submission!$O:$O,Submission!$H:$N,""))</f>
        <v>0</v>
      </c>
      <c r="H1364" s="127" t="str">
        <f>_xlfn.CONCAT(_xlfn.XLOOKUP("[S05_ContinuousEmissionsMeasurementDetail][38][ContinuousMeasurementTotalEmissions]",Submission!$O:$O,Submission!$H:$N,""))</f>
        <v>0</v>
      </c>
      <c r="I1364" s="72" t="str">
        <f>_xlfn.CONCAT(_xlfn.XLOOKUP("[S05_ContinuousEmissionsMeasurementDetail][38][FlueGasContainBiomass]",Submission!$O:$O,Submission!$H:$N,""))</f>
        <v>No</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 xml:space="preserve">42 - Production of bulk organic chemicals as specified in Annex I of Directive 2003/87/EC </v>
      </c>
      <c r="D1389" s="128" t="str">
        <f>_xlfn.CONCAT(_xlfn.XLOOKUP("[S05_BiomassInstallations][1][BiomassInstallationCategory]",Submission!$O:$O,Submission!$H:$N,""))</f>
        <v>Category A</v>
      </c>
      <c r="E1389" s="126" t="str">
        <f>_xlfn.CONCAT(_xlfn.XLOOKUP("[S05_BiomassInstallations][1][NumberUsingBiomass]",Submission!$O:$O,Submission!$H:$N,""))</f>
        <v>1</v>
      </c>
      <c r="F1389" s="126" t="str">
        <f>_xlfn.CONCAT(_xlfn.XLOOKUP("[S05_BiomassInstallations][1][EmissionsBiomassSustainabilitySatisfied]",Submission!$O:$O,Submission!$H:$N,""))</f>
        <v>4979.2278</v>
      </c>
      <c r="G1389" s="126" t="str">
        <f>_xlfn.CONCAT(_xlfn.XLOOKUP("[S05_BiomassInstallations][1][EmissionsBiomassSustainabilityNotSatisfied]",Submission!$O:$O,Submission!$H:$N,""))</f>
        <v/>
      </c>
      <c r="H1389" s="126" t="str">
        <f>_xlfn.CONCAT(_xlfn.XLOOKUP("[S05_BiomassInstallations][1][EmissionsFossil]",Submission!$O:$O,Submission!$H:$N,""))</f>
        <v>28079</v>
      </c>
      <c r="I1389" s="126" t="str">
        <f>_xlfn.CONCAT(_xlfn.XLOOKUP("[S05_BiomassInstallations][1][EnergyZeroRatedBiomass]",Submission!$O:$O,Submission!$H:$N,""))</f>
        <v>1435.99833542357</v>
      </c>
      <c r="J1389" s="126" t="str">
        <f>_xlfn.CONCAT(_xlfn.XLOOKUP("[S05_BiomassInstallations][1][EnergyNonZeroRatedBiomass]",Submission!$O:$O,Submission!$H:$N,""))</f>
        <v/>
      </c>
      <c r="K1389" s="126" t="str">
        <f>_xlfn.CONCAT(_xlfn.XLOOKUP("[S05_BiomassInstallations][1][EnergyFossil]",Submission!$O:$O,Submission!$H:$N,""))</f>
        <v>501.41244</v>
      </c>
    </row>
    <row r="1390" spans="1:11" ht="44.4" customHeight="1" x14ac:dyDescent="0.3">
      <c r="A1390" s="12"/>
      <c r="C1390" s="125" t="str">
        <f>_xlfn.CONCAT(_xlfn.XLOOKUP("[S05_BiomassInstallations][2][Annex1Activity]",Submission!$O:$O,Submission!$H:$N,""))</f>
        <v>24 - Production of pig iron or steel as specified in Annex I of Directive 2003/87/EC</v>
      </c>
      <c r="D1390" s="128" t="str">
        <f>_xlfn.CONCAT(_xlfn.XLOOKUP("[S05_BiomassInstallations][2][BiomassInstallationCategory]",Submission!$O:$O,Submission!$H:$N,""))</f>
        <v>Category A</v>
      </c>
      <c r="E1390" s="126" t="str">
        <f>_xlfn.CONCAT(_xlfn.XLOOKUP("[S05_BiomassInstallations][2][NumberUsingBiomass]",Submission!$O:$O,Submission!$H:$N,""))</f>
        <v>1</v>
      </c>
      <c r="F1390" s="126" t="str">
        <f>_xlfn.CONCAT(_xlfn.XLOOKUP("[S05_BiomassInstallations][2][EmissionsBiomassSustainabilitySatisfied]",Submission!$O:$O,Submission!$H:$N,""))</f>
        <v>285.792</v>
      </c>
      <c r="G1390" s="126" t="str">
        <f>_xlfn.CONCAT(_xlfn.XLOOKUP("[S05_BiomassInstallations][2][EmissionsBiomassSustainabilityNotSatisfied]",Submission!$O:$O,Submission!$H:$N,""))</f>
        <v/>
      </c>
      <c r="H1390" s="126" t="str">
        <f>_xlfn.CONCAT(_xlfn.XLOOKUP("[S05_BiomassInstallations][2][EmissionsFossil]",Submission!$O:$O,Submission!$H:$N,""))</f>
        <v>44736</v>
      </c>
      <c r="I1390" s="126" t="str">
        <f>_xlfn.CONCAT(_xlfn.XLOOKUP("[S05_BiomassInstallations][2][EnergyZeroRatedBiomass]",Submission!$O:$O,Submission!$H:$N,""))</f>
        <v>2.6783575</v>
      </c>
      <c r="J1390" s="126" t="str">
        <f>_xlfn.CONCAT(_xlfn.XLOOKUP("[S05_BiomassInstallations][2][EnergyNonZeroRatedBiomass]",Submission!$O:$O,Submission!$H:$N,""))</f>
        <v/>
      </c>
      <c r="K1390" s="126" t="str">
        <f>_xlfn.CONCAT(_xlfn.XLOOKUP("[S05_BiomassInstallations][2][EnergyFossil]",Submission!$O:$O,Submission!$H:$N,""))</f>
        <v>-2146.101784916</v>
      </c>
    </row>
    <row r="1391" spans="1:11" ht="44.4" customHeight="1" x14ac:dyDescent="0.3">
      <c r="A1391" s="12"/>
      <c r="C1391" s="125" t="str">
        <f>_xlfn.CONCAT(_xlfn.XLOOKUP("[S05_BiomassInstallations][3][Annex1Activity]",Submission!$O:$O,Submission!$H:$N,""))</f>
        <v>24 - Production of pig iron or steel as specified in Annex I of Directive 2003/87/EC</v>
      </c>
      <c r="D1391" s="128" t="str">
        <f>_xlfn.CONCAT(_xlfn.XLOOKUP("[S05_BiomassInstallations][3][BiomassInstallationCategory]",Submission!$O:$O,Submission!$H:$N,""))</f>
        <v>Category B</v>
      </c>
      <c r="E1391" s="126" t="str">
        <f>_xlfn.CONCAT(_xlfn.XLOOKUP("[S05_BiomassInstallations][3][NumberUsingBiomass]",Submission!$O:$O,Submission!$H:$N,""))</f>
        <v>4</v>
      </c>
      <c r="F1391" s="126" t="str">
        <f>_xlfn.CONCAT(_xlfn.XLOOKUP("[S05_BiomassInstallations][3][EmissionsBiomassSustainabilitySatisfied]",Submission!$O:$O,Submission!$H:$N,""))</f>
        <v>907.194849965472</v>
      </c>
      <c r="G1391" s="126" t="str">
        <f>_xlfn.CONCAT(_xlfn.XLOOKUP("[S05_BiomassInstallations][3][EmissionsBiomassSustainabilityNotSatisfied]",Submission!$O:$O,Submission!$H:$N,""))</f>
        <v/>
      </c>
      <c r="H1391" s="126" t="str">
        <f>_xlfn.CONCAT(_xlfn.XLOOKUP("[S05_BiomassInstallations][3][EmissionsFossil]",Submission!$O:$O,Submission!$H:$N,""))</f>
        <v>334914</v>
      </c>
      <c r="I1391" s="126" t="str">
        <f>_xlfn.CONCAT(_xlfn.XLOOKUP("[S05_BiomassInstallations][3][EnergyZeroRatedBiomass]",Submission!$O:$O,Submission!$H:$N,""))</f>
        <v>27.9182695296504</v>
      </c>
      <c r="J1391" s="126" t="str">
        <f>_xlfn.CONCAT(_xlfn.XLOOKUP("[S05_BiomassInstallations][3][EnergyNonZeroRatedBiomass]",Submission!$O:$O,Submission!$H:$N,""))</f>
        <v/>
      </c>
      <c r="K1391" s="126" t="str">
        <f>_xlfn.CONCAT(_xlfn.XLOOKUP("[S05_BiomassInstallations][3][EnergyFossil]",Submission!$O:$O,Submission!$H:$N,""))</f>
        <v>-6494.88666066834</v>
      </c>
    </row>
    <row r="1392" spans="1:11" ht="44.4" customHeight="1" x14ac:dyDescent="0.3">
      <c r="A1392" s="12"/>
      <c r="C1392" s="125" t="str">
        <f>_xlfn.CONCAT(_xlfn.XLOOKUP("[S05_BiomassInstallations][4][Annex1Activity]",Submission!$O:$O,Submission!$H:$N,""))</f>
        <v>24 - Production of pig iron or steel as specified in Annex I of Directive 2003/87/EC</v>
      </c>
      <c r="D1392" s="128" t="str">
        <f>_xlfn.CONCAT(_xlfn.XLOOKUP("[S05_BiomassInstallations][4][BiomassInstallationCategory]",Submission!$O:$O,Submission!$H:$N,""))</f>
        <v>Category C</v>
      </c>
      <c r="E1392" s="126" t="str">
        <f>_xlfn.CONCAT(_xlfn.XLOOKUP("[S05_BiomassInstallations][4][NumberUsingBiomass]",Submission!$O:$O,Submission!$H:$N,""))</f>
        <v>2</v>
      </c>
      <c r="F1392" s="126" t="str">
        <f>_xlfn.CONCAT(_xlfn.XLOOKUP("[S05_BiomassInstallations][4][EmissionsBiomassSustainabilitySatisfied]",Submission!$O:$O,Submission!$H:$N,""))</f>
        <v>267.758752825376</v>
      </c>
      <c r="G1392" s="126" t="str">
        <f>_xlfn.CONCAT(_xlfn.XLOOKUP("[S05_BiomassInstallations][4][EmissionsBiomassSustainabilityNotSatisfied]",Submission!$O:$O,Submission!$H:$N,""))</f>
        <v/>
      </c>
      <c r="H1392" s="126" t="str">
        <f>_xlfn.CONCAT(_xlfn.XLOOKUP("[S05_BiomassInstallations][4][EmissionsFossil]",Submission!$O:$O,Submission!$H:$N,""))</f>
        <v>10104027</v>
      </c>
      <c r="I1392" s="126" t="str">
        <f>_xlfn.CONCAT(_xlfn.XLOOKUP("[S05_BiomassInstallations][4][EnergyZeroRatedBiomass]",Submission!$O:$O,Submission!$H:$N,""))</f>
        <v>35.698344568577</v>
      </c>
      <c r="J1392" s="126" t="str">
        <f>_xlfn.CONCAT(_xlfn.XLOOKUP("[S05_BiomassInstallations][4][EnergyNonZeroRatedBiomass]",Submission!$O:$O,Submission!$H:$N,""))</f>
        <v/>
      </c>
      <c r="K1392" s="126" t="str">
        <f>_xlfn.CONCAT(_xlfn.XLOOKUP("[S05_BiomassInstallations][4][EnergyFossil]",Submission!$O:$O,Submission!$H:$N,""))</f>
        <v>-97521.980958896</v>
      </c>
    </row>
    <row r="1393" spans="1:11" ht="44.4" customHeight="1" x14ac:dyDescent="0.3">
      <c r="A1393" s="12"/>
      <c r="C1393" s="125" t="str">
        <f>_xlfn.CONCAT(_xlfn.XLOOKUP("[S05_BiomassInstallations][5][Annex1Activity]",Submission!$O:$O,Submission!$H:$N,""))</f>
        <v>25 - Production or processing of ferrous metals as specified in Annex I of Directive 2003/87/EC</v>
      </c>
      <c r="D1393" s="128" t="str">
        <f>_xlfn.CONCAT(_xlfn.XLOOKUP("[S05_BiomassInstallations][5][BiomassInstallationCategory]",Submission!$O:$O,Submission!$H:$N,""))</f>
        <v>Category A</v>
      </c>
      <c r="E1393" s="126" t="str">
        <f>_xlfn.CONCAT(_xlfn.XLOOKUP("[S05_BiomassInstallations][5][NumberUsingBiomass]",Submission!$O:$O,Submission!$H:$N,""))</f>
        <v>4</v>
      </c>
      <c r="F1393" s="126" t="str">
        <f>_xlfn.CONCAT(_xlfn.XLOOKUP("[S05_BiomassInstallations][5][EmissionsBiomassSustainabilitySatisfied]",Submission!$O:$O,Submission!$H:$N,""))</f>
        <v>432.8993352</v>
      </c>
      <c r="G1393" s="126" t="str">
        <f>_xlfn.CONCAT(_xlfn.XLOOKUP("[S05_BiomassInstallations][5][EmissionsBiomassSustainabilityNotSatisfied]",Submission!$O:$O,Submission!$H:$N,""))</f>
        <v/>
      </c>
      <c r="H1393" s="126" t="str">
        <f>_xlfn.CONCAT(_xlfn.XLOOKUP("[S05_BiomassInstallations][5][EmissionsFossil]",Submission!$O:$O,Submission!$H:$N,""))</f>
        <v>141096</v>
      </c>
      <c r="I1393" s="126" t="str">
        <f>_xlfn.CONCAT(_xlfn.XLOOKUP("[S05_BiomassInstallations][5][EnergyZeroRatedBiomass]",Submission!$O:$O,Submission!$H:$N,""))</f>
        <v>6.225628209</v>
      </c>
      <c r="J1393" s="126" t="str">
        <f>_xlfn.CONCAT(_xlfn.XLOOKUP("[S05_BiomassInstallations][5][EnergyNonZeroRatedBiomass]",Submission!$O:$O,Submission!$H:$N,""))</f>
        <v/>
      </c>
      <c r="K1393" s="126" t="str">
        <f>_xlfn.CONCAT(_xlfn.XLOOKUP("[S05_BiomassInstallations][5][EnergyFossil]",Submission!$O:$O,Submission!$H:$N,""))</f>
        <v>1341.83129725581</v>
      </c>
    </row>
    <row r="1394" spans="1:11" ht="44.4" customHeight="1" x14ac:dyDescent="0.3">
      <c r="A1394" s="12"/>
      <c r="C1394" s="125" t="str">
        <f>_xlfn.CONCAT(_xlfn.XLOOKUP("[S05_BiomassInstallations][6][Annex1Activity]",Submission!$O:$O,Submission!$H:$N,""))</f>
        <v>25 - Production or processing of ferrous metals as specified in Annex I of Directive 2003/87/EC</v>
      </c>
      <c r="D1394" s="128" t="str">
        <f>_xlfn.CONCAT(_xlfn.XLOOKUP("[S05_BiomassInstallations][6][BiomassInstallationCategory]",Submission!$O:$O,Submission!$H:$N,""))</f>
        <v>Category B</v>
      </c>
      <c r="E1394" s="126" t="str">
        <f>_xlfn.CONCAT(_xlfn.XLOOKUP("[S05_BiomassInstallations][6][NumberUsingBiomass]",Submission!$O:$O,Submission!$H:$N,""))</f>
        <v>3</v>
      </c>
      <c r="F1394" s="126" t="str">
        <f>_xlfn.CONCAT(_xlfn.XLOOKUP("[S05_BiomassInstallations][6][EmissionsBiomassSustainabilitySatisfied]",Submission!$O:$O,Submission!$H:$N,""))</f>
        <v>27882.4608307975</v>
      </c>
      <c r="G1394" s="126" t="str">
        <f>_xlfn.CONCAT(_xlfn.XLOOKUP("[S05_BiomassInstallations][6][EmissionsBiomassSustainabilityNotSatisfied]",Submission!$O:$O,Submission!$H:$N,""))</f>
        <v/>
      </c>
      <c r="H1394" s="126" t="str">
        <f>_xlfn.CONCAT(_xlfn.XLOOKUP("[S05_BiomassInstallations][6][EmissionsFossil]",Submission!$O:$O,Submission!$H:$N,""))</f>
        <v>295581</v>
      </c>
      <c r="I1394" s="126" t="str">
        <f>_xlfn.CONCAT(_xlfn.XLOOKUP("[S05_BiomassInstallations][6][EnergyZeroRatedBiomass]",Submission!$O:$O,Submission!$H:$N,""))</f>
        <v>491.59393527414</v>
      </c>
      <c r="J1394" s="126" t="str">
        <f>_xlfn.CONCAT(_xlfn.XLOOKUP("[S05_BiomassInstallations][6][EnergyNonZeroRatedBiomass]",Submission!$O:$O,Submission!$H:$N,""))</f>
        <v/>
      </c>
      <c r="K1394" s="126" t="str">
        <f>_xlfn.CONCAT(_xlfn.XLOOKUP("[S05_BiomassInstallations][6][EnergyFossil]",Submission!$O:$O,Submission!$H:$N,""))</f>
        <v>1891.66195134149</v>
      </c>
    </row>
    <row r="1395" spans="1:11" ht="44.4" customHeight="1" x14ac:dyDescent="0.3">
      <c r="A1395" s="12"/>
      <c r="C1395" s="125" t="str">
        <f>_xlfn.CONCAT(_xlfn.XLOOKUP("[S05_BiomassInstallations][7][Annex1Activity]",Submission!$O:$O,Submission!$H:$N,""))</f>
        <v>29 - Production of cement clinker in rotary kilns as specified in Annex I of Directive 2003/87/ EC</v>
      </c>
      <c r="D1395" s="128" t="str">
        <f>_xlfn.CONCAT(_xlfn.XLOOKUP("[S05_BiomassInstallations][7][BiomassInstallationCategory]",Submission!$O:$O,Submission!$H:$N,""))</f>
        <v>Category B</v>
      </c>
      <c r="E1395" s="126" t="str">
        <f>_xlfn.CONCAT(_xlfn.XLOOKUP("[S05_BiomassInstallations][7][NumberUsingBiomass]",Submission!$O:$O,Submission!$H:$N,""))</f>
        <v>9</v>
      </c>
      <c r="F1395" s="126" t="str">
        <f>_xlfn.CONCAT(_xlfn.XLOOKUP("[S05_BiomassInstallations][7][EmissionsBiomassSustainabilitySatisfied]",Submission!$O:$O,Submission!$H:$N,""))</f>
        <v>214820.247827031</v>
      </c>
      <c r="G1395" s="126" t="str">
        <f>_xlfn.CONCAT(_xlfn.XLOOKUP("[S05_BiomassInstallations][7][EmissionsBiomassSustainabilityNotSatisfied]",Submission!$O:$O,Submission!$H:$N,""))</f>
        <v/>
      </c>
      <c r="H1395" s="126" t="str">
        <f>_xlfn.CONCAT(_xlfn.XLOOKUP("[S05_BiomassInstallations][7][EmissionsFossil]",Submission!$O:$O,Submission!$H:$N,""))</f>
        <v>2801363</v>
      </c>
      <c r="I1395" s="126" t="str">
        <f>_xlfn.CONCAT(_xlfn.XLOOKUP("[S05_BiomassInstallations][7][EnergyZeroRatedBiomass]",Submission!$O:$O,Submission!$H:$N,""))</f>
        <v>2446.89263931995</v>
      </c>
      <c r="J1395" s="126" t="str">
        <f>_xlfn.CONCAT(_xlfn.XLOOKUP("[S05_BiomassInstallations][7][EnergyNonZeroRatedBiomass]",Submission!$O:$O,Submission!$H:$N,""))</f>
        <v/>
      </c>
      <c r="K1395" s="126" t="str">
        <f>_xlfn.CONCAT(_xlfn.XLOOKUP("[S05_BiomassInstallations][7][EnergyFossil]",Submission!$O:$O,Submission!$H:$N,""))</f>
        <v>13079.6822313389</v>
      </c>
    </row>
    <row r="1396" spans="1:11" ht="44.4" customHeight="1" x14ac:dyDescent="0.3">
      <c r="A1396" s="12"/>
      <c r="C1396" s="125" t="str">
        <f>_xlfn.CONCAT(_xlfn.XLOOKUP("[S05_BiomassInstallations][8][Annex1Activity]",Submission!$O:$O,Submission!$H:$N,""))</f>
        <v>29 - Production of cement clinker in rotary kilns as specified in Annex I of Directive 2003/87/ EC</v>
      </c>
      <c r="D1396" s="128" t="str">
        <f>_xlfn.CONCAT(_xlfn.XLOOKUP("[S05_BiomassInstallations][8][BiomassInstallationCategory]",Submission!$O:$O,Submission!$H:$N,""))</f>
        <v>Category C</v>
      </c>
      <c r="E1396" s="126" t="str">
        <f>_xlfn.CONCAT(_xlfn.XLOOKUP("[S05_BiomassInstallations][8][NumberUsingBiomass]",Submission!$O:$O,Submission!$H:$N,""))</f>
        <v>24</v>
      </c>
      <c r="F1396" s="126" t="str">
        <f>_xlfn.CONCAT(_xlfn.XLOOKUP("[S05_BiomassInstallations][8][EmissionsBiomassSustainabilitySatisfied]",Submission!$O:$O,Submission!$H:$N,""))</f>
        <v>1690451.97254474</v>
      </c>
      <c r="G1396" s="126" t="str">
        <f>_xlfn.CONCAT(_xlfn.XLOOKUP("[S05_BiomassInstallations][8][EmissionsBiomassSustainabilityNotSatisfied]",Submission!$O:$O,Submission!$H:$N,""))</f>
        <v/>
      </c>
      <c r="H1396" s="126" t="str">
        <f>_xlfn.CONCAT(_xlfn.XLOOKUP("[S05_BiomassInstallations][8][EmissionsFossil]",Submission!$O:$O,Submission!$H:$N,""))</f>
        <v>17398357</v>
      </c>
      <c r="I1396" s="126" t="str">
        <f>_xlfn.CONCAT(_xlfn.XLOOKUP("[S05_BiomassInstallations][8][EnergyZeroRatedBiomass]",Submission!$O:$O,Submission!$H:$N,""))</f>
        <v>18386.4666678267</v>
      </c>
      <c r="J1396" s="126" t="str">
        <f>_xlfn.CONCAT(_xlfn.XLOOKUP("[S05_BiomassInstallations][8][EnergyNonZeroRatedBiomass]",Submission!$O:$O,Submission!$H:$N,""))</f>
        <v/>
      </c>
      <c r="K1396" s="126" t="str">
        <f>_xlfn.CONCAT(_xlfn.XLOOKUP("[S05_BiomassInstallations][8][EnergyFossil]",Submission!$O:$O,Submission!$H:$N,""))</f>
        <v>94668.3427161182</v>
      </c>
    </row>
    <row r="1397" spans="1:11" ht="44.4" customHeight="1" x14ac:dyDescent="0.3">
      <c r="A1397" s="12"/>
      <c r="C1397" s="125" t="str">
        <f>_xlfn.CONCAT(_xlfn.XLOOKUP("[S05_BiomassInstallations][9][Annex1Activity]",Submission!$O:$O,Submission!$H:$N,""))</f>
        <v>30 - Production of lime or calcination of dolomite or magnesite as specified in Annex I of Directive 2003/87/ EC</v>
      </c>
      <c r="D1397" s="128" t="str">
        <f>_xlfn.CONCAT(_xlfn.XLOOKUP("[S05_BiomassInstallations][9][BiomassInstallationCategory]",Submission!$O:$O,Submission!$H:$N,""))</f>
        <v>Category B</v>
      </c>
      <c r="E1397" s="126" t="str">
        <f>_xlfn.CONCAT(_xlfn.XLOOKUP("[S05_BiomassInstallations][9][NumberUsingBiomass]",Submission!$O:$O,Submission!$H:$N,""))</f>
        <v>14</v>
      </c>
      <c r="F1397" s="126" t="str">
        <f>_xlfn.CONCAT(_xlfn.XLOOKUP("[S05_BiomassInstallations][9][EmissionsBiomassSustainabilitySatisfied]",Submission!$O:$O,Submission!$H:$N,""))</f>
        <v>20340.9003197437</v>
      </c>
      <c r="G1397" s="126" t="str">
        <f>_xlfn.CONCAT(_xlfn.XLOOKUP("[S05_BiomassInstallations][9][EmissionsBiomassSustainabilityNotSatisfied]",Submission!$O:$O,Submission!$H:$N,""))</f>
        <v/>
      </c>
      <c r="H1397" s="126" t="str">
        <f>_xlfn.CONCAT(_xlfn.XLOOKUP("[S05_BiomassInstallations][9][EmissionsFossil]",Submission!$O:$O,Submission!$H:$N,""))</f>
        <v>1645765</v>
      </c>
      <c r="I1397" s="126" t="str">
        <f>_xlfn.CONCAT(_xlfn.XLOOKUP("[S05_BiomassInstallations][9][EnergyZeroRatedBiomass]",Submission!$O:$O,Submission!$H:$N,""))</f>
        <v>278.20602097068</v>
      </c>
      <c r="J1397" s="126" t="str">
        <f>_xlfn.CONCAT(_xlfn.XLOOKUP("[S05_BiomassInstallations][9][EnergyNonZeroRatedBiomass]",Submission!$O:$O,Submission!$H:$N,""))</f>
        <v/>
      </c>
      <c r="K1397" s="126" t="str">
        <f>_xlfn.CONCAT(_xlfn.XLOOKUP("[S05_BiomassInstallations][9][EnergyFossil]",Submission!$O:$O,Submission!$H:$N,""))</f>
        <v>21833.7719954027</v>
      </c>
    </row>
    <row r="1398" spans="1:11" ht="44.4" customHeight="1" x14ac:dyDescent="0.3">
      <c r="A1398" s="12"/>
      <c r="C1398" s="125" t="str">
        <f>_xlfn.CONCAT(_xlfn.XLOOKUP("[S05_BiomassInstallations][10][Annex1Activity]",Submission!$O:$O,Submission!$H:$N,""))</f>
        <v>30 - Production of lime or calcination of dolomite or magnesite as specified in Annex I of Directive 2003/87/ EC</v>
      </c>
      <c r="D1398" s="128" t="str">
        <f>_xlfn.CONCAT(_xlfn.XLOOKUP("[S05_BiomassInstallations][10][BiomassInstallationCategory]",Submission!$O:$O,Submission!$H:$N,""))</f>
        <v>Category C</v>
      </c>
      <c r="E1398" s="126" t="str">
        <f>_xlfn.CONCAT(_xlfn.XLOOKUP("[S05_BiomassInstallations][10][NumberUsingBiomass]",Submission!$O:$O,Submission!$H:$N,""))</f>
        <v>1</v>
      </c>
      <c r="F1398" s="126" t="str">
        <f>_xlfn.CONCAT(_xlfn.XLOOKUP("[S05_BiomassInstallations][10][EmissionsBiomassSustainabilitySatisfied]",Submission!$O:$O,Submission!$H:$N,""))</f>
        <v>15428.9224243668</v>
      </c>
      <c r="G1398" s="126" t="str">
        <f>_xlfn.CONCAT(_xlfn.XLOOKUP("[S05_BiomassInstallations][10][EmissionsBiomassSustainabilityNotSatisfied]",Submission!$O:$O,Submission!$H:$N,""))</f>
        <v/>
      </c>
      <c r="H1398" s="126" t="str">
        <f>_xlfn.CONCAT(_xlfn.XLOOKUP("[S05_BiomassInstallations][10][EmissionsFossil]",Submission!$O:$O,Submission!$H:$N,""))</f>
        <v>1691601</v>
      </c>
      <c r="I1398" s="126" t="str">
        <f>_xlfn.CONCAT(_xlfn.XLOOKUP("[S05_BiomassInstallations][10][EnergyZeroRatedBiomass]",Submission!$O:$O,Submission!$H:$N,""))</f>
        <v>185.8234665105</v>
      </c>
      <c r="J1398" s="126" t="str">
        <f>_xlfn.CONCAT(_xlfn.XLOOKUP("[S05_BiomassInstallations][10][EnergyNonZeroRatedBiomass]",Submission!$O:$O,Submission!$H:$N,""))</f>
        <v/>
      </c>
      <c r="K1398" s="126" t="str">
        <f>_xlfn.CONCAT(_xlfn.XLOOKUP("[S05_BiomassInstallations][10][EnergyFossil]",Submission!$O:$O,Submission!$H:$N,""))</f>
        <v>6627.2976870595</v>
      </c>
    </row>
    <row r="1399" spans="1:11" ht="44.4" customHeight="1" x14ac:dyDescent="0.3">
      <c r="A1399" s="12"/>
      <c r="C1399" s="125" t="str">
        <f>_xlfn.CONCAT(_xlfn.XLOOKUP("[S05_BiomassInstallations][11][Annex1Activity]",Submission!$O:$O,Submission!$H:$N,""))</f>
        <v>31 - Manufacture of glass as specified in Annex I of Directive 2003/87/EC</v>
      </c>
      <c r="D1399" s="128" t="str">
        <f>_xlfn.CONCAT(_xlfn.XLOOKUP("[S05_BiomassInstallations][11][BiomassInstallationCategory]",Submission!$O:$O,Submission!$H:$N,""))</f>
        <v>Category A</v>
      </c>
      <c r="E1399" s="126" t="str">
        <f>_xlfn.CONCAT(_xlfn.XLOOKUP("[S05_BiomassInstallations][11][NumberUsingBiomass]",Submission!$O:$O,Submission!$H:$N,""))</f>
        <v>8</v>
      </c>
      <c r="F1399" s="126" t="str">
        <f>_xlfn.CONCAT(_xlfn.XLOOKUP("[S05_BiomassInstallations][11][EmissionsBiomassSustainabilitySatisfied]",Submission!$O:$O,Submission!$H:$N,""))</f>
        <v>341.6966740764</v>
      </c>
      <c r="G1399" s="126" t="str">
        <f>_xlfn.CONCAT(_xlfn.XLOOKUP("[S05_BiomassInstallations][11][EmissionsBiomassSustainabilityNotSatisfied]",Submission!$O:$O,Submission!$H:$N,""))</f>
        <v/>
      </c>
      <c r="H1399" s="126" t="str">
        <f>_xlfn.CONCAT(_xlfn.XLOOKUP("[S05_BiomassInstallations][11][EmissionsFossil]",Submission!$O:$O,Submission!$H:$N,""))</f>
        <v>189724</v>
      </c>
      <c r="I1399" s="126" t="str">
        <f>_xlfn.CONCAT(_xlfn.XLOOKUP("[S05_BiomassInstallations][11][EnergyZeroRatedBiomass]",Submission!$O:$O,Submission!$H:$N,""))</f>
        <v>22.5481272538905</v>
      </c>
      <c r="J1399" s="126" t="str">
        <f>_xlfn.CONCAT(_xlfn.XLOOKUP("[S05_BiomassInstallations][11][EnergyNonZeroRatedBiomass]",Submission!$O:$O,Submission!$H:$N,""))</f>
        <v/>
      </c>
      <c r="K1399" s="126" t="str">
        <f>_xlfn.CONCAT(_xlfn.XLOOKUP("[S05_BiomassInstallations][11][EnergyFossil]",Submission!$O:$O,Submission!$H:$N,""))</f>
        <v>3169.06205989768</v>
      </c>
    </row>
    <row r="1400" spans="1:11" ht="44.4" customHeight="1" x14ac:dyDescent="0.3">
      <c r="A1400" s="12"/>
      <c r="C1400" s="125" t="str">
        <f>_xlfn.CONCAT(_xlfn.XLOOKUP("[S05_BiomassInstallations][12][Annex1Activity]",Submission!$O:$O,Submission!$H:$N,""))</f>
        <v>31 - Manufacture of glass as specified in Annex I of Directive 2003/87/EC</v>
      </c>
      <c r="D1400" s="128" t="str">
        <f>_xlfn.CONCAT(_xlfn.XLOOKUP("[S05_BiomassInstallations][12][BiomassInstallationCategory]",Submission!$O:$O,Submission!$H:$N,""))</f>
        <v>Category B</v>
      </c>
      <c r="E1400" s="126" t="str">
        <f>_xlfn.CONCAT(_xlfn.XLOOKUP("[S05_BiomassInstallations][12][NumberUsingBiomass]",Submission!$O:$O,Submission!$H:$N,""))</f>
        <v>4</v>
      </c>
      <c r="F1400" s="126" t="str">
        <f>_xlfn.CONCAT(_xlfn.XLOOKUP("[S05_BiomassInstallations][12][EmissionsBiomassSustainabilitySatisfied]",Submission!$O:$O,Submission!$H:$N,""))</f>
        <v>969.318402288686</v>
      </c>
      <c r="G1400" s="126" t="str">
        <f>_xlfn.CONCAT(_xlfn.XLOOKUP("[S05_BiomassInstallations][12][EmissionsBiomassSustainabilityNotSatisfied]",Submission!$O:$O,Submission!$H:$N,""))</f>
        <v/>
      </c>
      <c r="H1400" s="126" t="str">
        <f>_xlfn.CONCAT(_xlfn.XLOOKUP("[S05_BiomassInstallations][12][EmissionsFossil]",Submission!$O:$O,Submission!$H:$N,""))</f>
        <v>283871</v>
      </c>
      <c r="I1400" s="126" t="str">
        <f>_xlfn.CONCAT(_xlfn.XLOOKUP("[S05_BiomassInstallations][12][EnergyZeroRatedBiomass]",Submission!$O:$O,Submission!$H:$N,""))</f>
        <v>33.5378465700913</v>
      </c>
      <c r="J1400" s="126" t="str">
        <f>_xlfn.CONCAT(_xlfn.XLOOKUP("[S05_BiomassInstallations][12][EnergyNonZeroRatedBiomass]",Submission!$O:$O,Submission!$H:$N,""))</f>
        <v/>
      </c>
      <c r="K1400" s="126" t="str">
        <f>_xlfn.CONCAT(_xlfn.XLOOKUP("[S05_BiomassInstallations][12][EnergyFossil]",Submission!$O:$O,Submission!$H:$N,""))</f>
        <v>4402.968063555</v>
      </c>
    </row>
    <row r="1401" spans="1:11" ht="44.4" hidden="1" customHeight="1" outlineLevel="1" x14ac:dyDescent="0.3">
      <c r="A1401" s="12"/>
      <c r="C1401" s="125" t="str">
        <f>_xlfn.CONCAT(_xlfn.XLOOKUP("[S05_BiomassInstallations][13][Annex1Activity]",Submission!$O:$O,Submission!$H:$N,""))</f>
        <v>32 - Manufacture of ceramic products as specified in Annex I of Directive 2003/87/EC</v>
      </c>
      <c r="D1401" s="128" t="str">
        <f>_xlfn.CONCAT(_xlfn.XLOOKUP("[S05_BiomassInstallations][13][BiomassInstallationCategory]",Submission!$O:$O,Submission!$H:$N,""))</f>
        <v>Category A</v>
      </c>
      <c r="E1401" s="126" t="str">
        <f>_xlfn.CONCAT(_xlfn.XLOOKUP("[S05_BiomassInstallations][13][NumberUsingBiomass]",Submission!$O:$O,Submission!$H:$N,""))</f>
        <v>60</v>
      </c>
      <c r="F1401" s="126" t="str">
        <f>_xlfn.CONCAT(_xlfn.XLOOKUP("[S05_BiomassInstallations][13][EmissionsBiomassSustainabilitySatisfied]",Submission!$O:$O,Submission!$H:$N,""))</f>
        <v>429062.224452035</v>
      </c>
      <c r="G1401" s="126" t="str">
        <f>_xlfn.CONCAT(_xlfn.XLOOKUP("[S05_BiomassInstallations][13][EmissionsBiomassSustainabilityNotSatisfied]",Submission!$O:$O,Submission!$H:$N,""))</f>
        <v/>
      </c>
      <c r="H1401" s="126" t="str">
        <f>_xlfn.CONCAT(_xlfn.XLOOKUP("[S05_BiomassInstallations][13][EmissionsFossil]",Submission!$O:$O,Submission!$H:$N,""))</f>
        <v>932694</v>
      </c>
      <c r="I1401" s="126" t="str">
        <f>_xlfn.CONCAT(_xlfn.XLOOKUP("[S05_BiomassInstallations][13][EnergyZeroRatedBiomass]",Submission!$O:$O,Submission!$H:$N,""))</f>
        <v>3685.64815380684</v>
      </c>
      <c r="J1401" s="126" t="str">
        <f>_xlfn.CONCAT(_xlfn.XLOOKUP("[S05_BiomassInstallations][13][EnergyNonZeroRatedBiomass]",Submission!$O:$O,Submission!$H:$N,""))</f>
        <v/>
      </c>
      <c r="K1401" s="126" t="str">
        <f>_xlfn.CONCAT(_xlfn.XLOOKUP("[S05_BiomassInstallations][13][EnergyFossil]",Submission!$O:$O,Submission!$H:$N,""))</f>
        <v>12496.9503875364</v>
      </c>
    </row>
    <row r="1402" spans="1:11" ht="44.4" hidden="1" customHeight="1" outlineLevel="1" x14ac:dyDescent="0.3">
      <c r="A1402" s="12"/>
      <c r="C1402" s="125" t="str">
        <f>_xlfn.CONCAT(_xlfn.XLOOKUP("[S05_BiomassInstallations][14][Annex1Activity]",Submission!$O:$O,Submission!$H:$N,""))</f>
        <v>32 - Manufacture of ceramic products as specified in Annex I of Directive 2003/87/EC</v>
      </c>
      <c r="D1402" s="128" t="str">
        <f>_xlfn.CONCAT(_xlfn.XLOOKUP("[S05_BiomassInstallations][14][BiomassInstallationCategory]",Submission!$O:$O,Submission!$H:$N,""))</f>
        <v>Category B</v>
      </c>
      <c r="E1402" s="126" t="str">
        <f>_xlfn.CONCAT(_xlfn.XLOOKUP("[S05_BiomassInstallations][14][NumberUsingBiomass]",Submission!$O:$O,Submission!$H:$N,""))</f>
        <v>1</v>
      </c>
      <c r="F1402" s="126" t="str">
        <f>_xlfn.CONCAT(_xlfn.XLOOKUP("[S05_BiomassInstallations][14][EmissionsBiomassSustainabilitySatisfied]",Submission!$O:$O,Submission!$H:$N,""))</f>
        <v>5787.016337024</v>
      </c>
      <c r="G1402" s="126" t="str">
        <f>_xlfn.CONCAT(_xlfn.XLOOKUP("[S05_BiomassInstallations][14][EmissionsBiomassSustainabilityNotSatisfied]",Submission!$O:$O,Submission!$H:$N,""))</f>
        <v/>
      </c>
      <c r="H1402" s="126" t="str">
        <f>_xlfn.CONCAT(_xlfn.XLOOKUP("[S05_BiomassInstallations][14][EmissionsFossil]",Submission!$O:$O,Submission!$H:$N,""))</f>
        <v>64446</v>
      </c>
      <c r="I1402" s="126" t="str">
        <f>_xlfn.CONCAT(_xlfn.XLOOKUP("[S05_BiomassInstallations][14][EnergyZeroRatedBiomass]",Submission!$O:$O,Submission!$H:$N,""))</f>
        <v>62.1885824</v>
      </c>
      <c r="J1402" s="126" t="str">
        <f>_xlfn.CONCAT(_xlfn.XLOOKUP("[S05_BiomassInstallations][14][EnergyNonZeroRatedBiomass]",Submission!$O:$O,Submission!$H:$N,""))</f>
        <v/>
      </c>
      <c r="K1402" s="126" t="str">
        <f>_xlfn.CONCAT(_xlfn.XLOOKUP("[S05_BiomassInstallations][14][EnergyFossil]",Submission!$O:$O,Submission!$H:$N,""))</f>
        <v>534.79139085</v>
      </c>
    </row>
    <row r="1403" spans="1:11" ht="44.4" hidden="1" customHeight="1" outlineLevel="1" x14ac:dyDescent="0.3">
      <c r="A1403" s="12"/>
      <c r="C1403" s="125" t="str">
        <f>_xlfn.CONCAT(_xlfn.XLOOKUP("[S05_BiomassInstallations][15][Annex1Activity]",Submission!$O:$O,Submission!$H:$N,""))</f>
        <v>35 - Production of pulp as specified in Annex I of Directive 2003/87/EC</v>
      </c>
      <c r="D1403" s="128" t="str">
        <f>_xlfn.CONCAT(_xlfn.XLOOKUP("[S05_BiomassInstallations][15][BiomassInstallationCategory]",Submission!$O:$O,Submission!$H:$N,""))</f>
        <v>Category A</v>
      </c>
      <c r="E1403" s="126" t="str">
        <f>_xlfn.CONCAT(_xlfn.XLOOKUP("[S05_BiomassInstallations][15][NumberUsingBiomass]",Submission!$O:$O,Submission!$H:$N,""))</f>
        <v>3</v>
      </c>
      <c r="F1403" s="126" t="str">
        <f>_xlfn.CONCAT(_xlfn.XLOOKUP("[S05_BiomassInstallations][15][EmissionsBiomassSustainabilitySatisfied]",Submission!$O:$O,Submission!$H:$N,""))</f>
        <v>1014741.83266609</v>
      </c>
      <c r="G1403" s="126" t="str">
        <f>_xlfn.CONCAT(_xlfn.XLOOKUP("[S05_BiomassInstallations][15][EmissionsBiomassSustainabilityNotSatisfied]",Submission!$O:$O,Submission!$H:$N,""))</f>
        <v/>
      </c>
      <c r="H1403" s="126" t="str">
        <f>_xlfn.CONCAT(_xlfn.XLOOKUP("[S05_BiomassInstallations][15][EmissionsFossil]",Submission!$O:$O,Submission!$H:$N,""))</f>
        <v>73829</v>
      </c>
      <c r="I1403" s="126" t="str">
        <f>_xlfn.CONCAT(_xlfn.XLOOKUP("[S05_BiomassInstallations][15][EnergyZeroRatedBiomass]",Submission!$O:$O,Submission!$H:$N,""))</f>
        <v>10002.5113981091</v>
      </c>
      <c r="J1403" s="126" t="str">
        <f>_xlfn.CONCAT(_xlfn.XLOOKUP("[S05_BiomassInstallations][15][EnergyNonZeroRatedBiomass]",Submission!$O:$O,Submission!$H:$N,""))</f>
        <v/>
      </c>
      <c r="K1403" s="126" t="str">
        <f>_xlfn.CONCAT(_xlfn.XLOOKUP("[S05_BiomassInstallations][15][EnergyFossil]",Submission!$O:$O,Submission!$H:$N,""))</f>
        <v>1184.54215614421</v>
      </c>
    </row>
    <row r="1404" spans="1:11" ht="44.4" hidden="1" customHeight="1" outlineLevel="1" x14ac:dyDescent="0.3">
      <c r="A1404" s="12"/>
      <c r="C1404" s="125" t="str">
        <f>_xlfn.CONCAT(_xlfn.XLOOKUP("[S05_BiomassInstallations][16][Annex1Activity]",Submission!$O:$O,Submission!$H:$N,""))</f>
        <v>35 - Production of pulp as specified in Annex I of Directive 2003/87/EC</v>
      </c>
      <c r="D1404" s="128" t="str">
        <f>_xlfn.CONCAT(_xlfn.XLOOKUP("[S05_BiomassInstallations][16][BiomassInstallationCategory]",Submission!$O:$O,Submission!$H:$N,""))</f>
        <v>Category B</v>
      </c>
      <c r="E1404" s="126" t="str">
        <f>_xlfn.CONCAT(_xlfn.XLOOKUP("[S05_BiomassInstallations][16][NumberUsingBiomass]",Submission!$O:$O,Submission!$H:$N,""))</f>
        <v>2</v>
      </c>
      <c r="F1404" s="126" t="str">
        <f>_xlfn.CONCAT(_xlfn.XLOOKUP("[S05_BiomassInstallations][16][EmissionsBiomassSustainabilitySatisfied]",Submission!$O:$O,Submission!$H:$N,""))</f>
        <v>2273026.31284733</v>
      </c>
      <c r="G1404" s="126" t="str">
        <f>_xlfn.CONCAT(_xlfn.XLOOKUP("[S05_BiomassInstallations][16][EmissionsBiomassSustainabilityNotSatisfied]",Submission!$O:$O,Submission!$H:$N,""))</f>
        <v/>
      </c>
      <c r="H1404" s="126" t="str">
        <f>_xlfn.CONCAT(_xlfn.XLOOKUP("[S05_BiomassInstallations][16][EmissionsFossil]",Submission!$O:$O,Submission!$H:$N,""))</f>
        <v>185262</v>
      </c>
      <c r="I1404" s="126" t="str">
        <f>_xlfn.CONCAT(_xlfn.XLOOKUP("[S05_BiomassInstallations][16][EnergyZeroRatedBiomass]",Submission!$O:$O,Submission!$H:$N,""))</f>
        <v>21392.65134415</v>
      </c>
      <c r="J1404" s="126" t="str">
        <f>_xlfn.CONCAT(_xlfn.XLOOKUP("[S05_BiomassInstallations][16][EnergyNonZeroRatedBiomass]",Submission!$O:$O,Submission!$H:$N,""))</f>
        <v/>
      </c>
      <c r="K1404" s="126" t="str">
        <f>_xlfn.CONCAT(_xlfn.XLOOKUP("[S05_BiomassInstallations][16][EnergyFossil]",Submission!$O:$O,Submission!$H:$N,""))</f>
        <v>3279.52621628</v>
      </c>
    </row>
    <row r="1405" spans="1:11" ht="44.4" hidden="1" customHeight="1" outlineLevel="1" x14ac:dyDescent="0.3">
      <c r="A1405" s="12"/>
      <c r="C1405" s="125" t="str">
        <f>_xlfn.CONCAT(_xlfn.XLOOKUP("[S05_BiomassInstallations][17][Annex1Activity]",Submission!$O:$O,Submission!$H:$N,""))</f>
        <v xml:space="preserve">36 - Production of paper or cardboard as specified in Annex I of Directive 2003/87/EC </v>
      </c>
      <c r="D1405" s="128" t="str">
        <f>_xlfn.CONCAT(_xlfn.XLOOKUP("[S05_BiomassInstallations][17][BiomassInstallationCategory]",Submission!$O:$O,Submission!$H:$N,""))</f>
        <v>Category A</v>
      </c>
      <c r="E1405" s="126" t="str">
        <f>_xlfn.CONCAT(_xlfn.XLOOKUP("[S05_BiomassInstallations][17][NumberUsingBiomass]",Submission!$O:$O,Submission!$H:$N,""))</f>
        <v>11</v>
      </c>
      <c r="F1405" s="126" t="str">
        <f>_xlfn.CONCAT(_xlfn.XLOOKUP("[S05_BiomassInstallations][17][EmissionsBiomassSustainabilitySatisfied]",Submission!$O:$O,Submission!$H:$N,""))</f>
        <v>303804.825378873</v>
      </c>
      <c r="G1405" s="126" t="str">
        <f>_xlfn.CONCAT(_xlfn.XLOOKUP("[S05_BiomassInstallations][17][EmissionsBiomassSustainabilityNotSatisfied]",Submission!$O:$O,Submission!$H:$N,""))</f>
        <v/>
      </c>
      <c r="H1405" s="126" t="str">
        <f>_xlfn.CONCAT(_xlfn.XLOOKUP("[S05_BiomassInstallations][17][EmissionsFossil]",Submission!$O:$O,Submission!$H:$N,""))</f>
        <v>192205</v>
      </c>
      <c r="I1405" s="126" t="str">
        <f>_xlfn.CONCAT(_xlfn.XLOOKUP("[S05_BiomassInstallations][17][EnergyZeroRatedBiomass]",Submission!$O:$O,Submission!$H:$N,""))</f>
        <v>2909.40705702</v>
      </c>
      <c r="J1405" s="126" t="str">
        <f>_xlfn.CONCAT(_xlfn.XLOOKUP("[S05_BiomassInstallations][17][EnergyNonZeroRatedBiomass]",Submission!$O:$O,Submission!$H:$N,""))</f>
        <v/>
      </c>
      <c r="K1405" s="126" t="str">
        <f>_xlfn.CONCAT(_xlfn.XLOOKUP("[S05_BiomassInstallations][17][EnergyFossil]",Submission!$O:$O,Submission!$H:$N,""))</f>
        <v>3406.07250999667</v>
      </c>
    </row>
    <row r="1406" spans="1:11" ht="44.4" hidden="1" customHeight="1" outlineLevel="1" x14ac:dyDescent="0.3">
      <c r="A1406" s="12"/>
      <c r="C1406" s="125" t="str">
        <f>_xlfn.CONCAT(_xlfn.XLOOKUP("[S05_BiomassInstallations][18][Annex1Activity]",Submission!$O:$O,Submission!$H:$N,""))</f>
        <v xml:space="preserve">36 - Production of paper or cardboard as specified in Annex I of Directive 2003/87/EC </v>
      </c>
      <c r="D1406" s="128" t="str">
        <f>_xlfn.CONCAT(_xlfn.XLOOKUP("[S05_BiomassInstallations][18][BiomassInstallationCategory]",Submission!$O:$O,Submission!$H:$N,""))</f>
        <v>Category B</v>
      </c>
      <c r="E1406" s="126" t="str">
        <f>_xlfn.CONCAT(_xlfn.XLOOKUP("[S05_BiomassInstallations][18][NumberUsingBiomass]",Submission!$O:$O,Submission!$H:$N,""))</f>
        <v>20</v>
      </c>
      <c r="F1406" s="126" t="str">
        <f>_xlfn.CONCAT(_xlfn.XLOOKUP("[S05_BiomassInstallations][18][EmissionsBiomassSustainabilitySatisfied]",Submission!$O:$O,Submission!$H:$N,""))</f>
        <v>585697.472788651</v>
      </c>
      <c r="G1406" s="126" t="str">
        <f>_xlfn.CONCAT(_xlfn.XLOOKUP("[S05_BiomassInstallations][18][EmissionsBiomassSustainabilityNotSatisfied]",Submission!$O:$O,Submission!$H:$N,""))</f>
        <v/>
      </c>
      <c r="H1406" s="126" t="str">
        <f>_xlfn.CONCAT(_xlfn.XLOOKUP("[S05_BiomassInstallations][18][EmissionsFossil]",Submission!$O:$O,Submission!$H:$N,""))</f>
        <v>2484327</v>
      </c>
      <c r="I1406" s="126" t="str">
        <f>_xlfn.CONCAT(_xlfn.XLOOKUP("[S05_BiomassInstallations][18][EnergyZeroRatedBiomass]",Submission!$O:$O,Submission!$H:$N,""))</f>
        <v>5870.16536217342</v>
      </c>
      <c r="J1406" s="126" t="str">
        <f>_xlfn.CONCAT(_xlfn.XLOOKUP("[S05_BiomassInstallations][18][EnergyNonZeroRatedBiomass]",Submission!$O:$O,Submission!$H:$N,""))</f>
        <v/>
      </c>
      <c r="K1406" s="126" t="str">
        <f>_xlfn.CONCAT(_xlfn.XLOOKUP("[S05_BiomassInstallations][18][EnergyFossil]",Submission!$O:$O,Submission!$H:$N,""))</f>
        <v>38928.7949510832</v>
      </c>
    </row>
    <row r="1407" spans="1:11" ht="44.4" hidden="1" customHeight="1" outlineLevel="1" x14ac:dyDescent="0.3">
      <c r="A1407" s="12"/>
      <c r="C1407" s="125" t="str">
        <f>_xlfn.CONCAT(_xlfn.XLOOKUP("[S05_BiomassInstallations][19][Annex1Activity]",Submission!$O:$O,Submission!$H:$N,""))</f>
        <v>20 - Combustion of fuels as specified in Annex I of Directive 2003/87/EC</v>
      </c>
      <c r="D1407" s="128" t="str">
        <f>_xlfn.CONCAT(_xlfn.XLOOKUP("[S05_BiomassInstallations][19][BiomassInstallationCategory]",Submission!$O:$O,Submission!$H:$N,""))</f>
        <v>Category A</v>
      </c>
      <c r="E1407" s="126" t="str">
        <f>_xlfn.CONCAT(_xlfn.XLOOKUP("[S05_BiomassInstallations][19][NumberUsingBiomass]",Submission!$O:$O,Submission!$H:$N,""))</f>
        <v>102</v>
      </c>
      <c r="F1407" s="126" t="str">
        <f>_xlfn.CONCAT(_xlfn.XLOOKUP("[S05_BiomassInstallations][19][EmissionsBiomassSustainabilitySatisfied]",Submission!$O:$O,Submission!$H:$N,""))</f>
        <v>6585733.86597864</v>
      </c>
      <c r="G1407" s="126" t="str">
        <f>_xlfn.CONCAT(_xlfn.XLOOKUP("[S05_BiomassInstallations][19][EmissionsBiomassSustainabilityNotSatisfied]",Submission!$O:$O,Submission!$H:$N,""))</f>
        <v/>
      </c>
      <c r="H1407" s="126" t="str">
        <f>_xlfn.CONCAT(_xlfn.XLOOKUP("[S05_BiomassInstallations][19][EmissionsFossil]",Submission!$O:$O,Submission!$H:$N,""))</f>
        <v>1201686</v>
      </c>
      <c r="I1407" s="126" t="str">
        <f>_xlfn.CONCAT(_xlfn.XLOOKUP("[S05_BiomassInstallations][19][EnergyZeroRatedBiomass]",Submission!$O:$O,Submission!$H:$N,""))</f>
        <v>67026.9433145651</v>
      </c>
      <c r="J1407" s="126" t="str">
        <f>_xlfn.CONCAT(_xlfn.XLOOKUP("[S05_BiomassInstallations][19][EnergyNonZeroRatedBiomass]",Submission!$O:$O,Submission!$H:$N,""))</f>
        <v/>
      </c>
      <c r="K1407" s="126" t="str">
        <f>_xlfn.CONCAT(_xlfn.XLOOKUP("[S05_BiomassInstallations][19][EnergyFossil]",Submission!$O:$O,Submission!$H:$N,""))</f>
        <v>20454.923108208</v>
      </c>
    </row>
    <row r="1408" spans="1:11" ht="44.4" hidden="1" customHeight="1" outlineLevel="1" x14ac:dyDescent="0.3">
      <c r="A1408" s="12"/>
      <c r="C1408" s="125" t="str">
        <f>_xlfn.CONCAT(_xlfn.XLOOKUP("[S05_BiomassInstallations][20][Annex1Activity]",Submission!$O:$O,Submission!$H:$N,""))</f>
        <v>20 - Combustion of fuels as specified in Annex I of Directive 2003/87/EC</v>
      </c>
      <c r="D1408" s="128" t="str">
        <f>_xlfn.CONCAT(_xlfn.XLOOKUP("[S05_BiomassInstallations][20][BiomassInstallationCategory]",Submission!$O:$O,Submission!$H:$N,""))</f>
        <v>Category B</v>
      </c>
      <c r="E1408" s="126" t="str">
        <f>_xlfn.CONCAT(_xlfn.XLOOKUP("[S05_BiomassInstallations][20][NumberUsingBiomass]",Submission!$O:$O,Submission!$H:$N,""))</f>
        <v>33</v>
      </c>
      <c r="F1408" s="126" t="str">
        <f>_xlfn.CONCAT(_xlfn.XLOOKUP("[S05_BiomassInstallations][20][EmissionsBiomassSustainabilitySatisfied]",Submission!$O:$O,Submission!$H:$N,""))</f>
        <v>1147018.1019168</v>
      </c>
      <c r="G1408" s="126" t="str">
        <f>_xlfn.CONCAT(_xlfn.XLOOKUP("[S05_BiomassInstallations][20][EmissionsBiomassSustainabilityNotSatisfied]",Submission!$O:$O,Submission!$H:$N,""))</f>
        <v/>
      </c>
      <c r="H1408" s="126" t="str">
        <f>_xlfn.CONCAT(_xlfn.XLOOKUP("[S05_BiomassInstallations][20][EmissionsFossil]",Submission!$O:$O,Submission!$H:$N,""))</f>
        <v>5024317</v>
      </c>
      <c r="I1408" s="126" t="str">
        <f>_xlfn.CONCAT(_xlfn.XLOOKUP("[S05_BiomassInstallations][20][EnergyZeroRatedBiomass]",Submission!$O:$O,Submission!$H:$N,""))</f>
        <v>11603.1826801946</v>
      </c>
      <c r="J1408" s="126" t="str">
        <f>_xlfn.CONCAT(_xlfn.XLOOKUP("[S05_BiomassInstallations][20][EnergyNonZeroRatedBiomass]",Submission!$O:$O,Submission!$H:$N,""))</f>
        <v/>
      </c>
      <c r="K1408" s="126" t="str">
        <f>_xlfn.CONCAT(_xlfn.XLOOKUP("[S05_BiomassInstallations][20][EnergyFossil]",Submission!$O:$O,Submission!$H:$N,""))</f>
        <v>81418.6766253575</v>
      </c>
    </row>
    <row r="1409" spans="1:11" ht="44.4" hidden="1" customHeight="1" outlineLevel="1" x14ac:dyDescent="0.3">
      <c r="A1409" s="12"/>
      <c r="C1409" s="125" t="str">
        <f>_xlfn.CONCAT(_xlfn.XLOOKUP("[S05_BiomassInstallations][21][Annex1Activity]",Submission!$O:$O,Submission!$H:$N,""))</f>
        <v>20 - Combustion of fuels as specified in Annex I of Directive 2003/87/EC</v>
      </c>
      <c r="D1409" s="128" t="str">
        <f>_xlfn.CONCAT(_xlfn.XLOOKUP("[S05_BiomassInstallations][21][BiomassInstallationCategory]",Submission!$O:$O,Submission!$H:$N,""))</f>
        <v>Category C</v>
      </c>
      <c r="E1409" s="126" t="str">
        <f>_xlfn.CONCAT(_xlfn.XLOOKUP("[S05_BiomassInstallations][21][NumberUsingBiomass]",Submission!$O:$O,Submission!$H:$N,""))</f>
        <v>15</v>
      </c>
      <c r="F1409" s="126" t="str">
        <f>_xlfn.CONCAT(_xlfn.XLOOKUP("[S05_BiomassInstallations][21][EmissionsBiomassSustainabilitySatisfied]",Submission!$O:$O,Submission!$H:$N,""))</f>
        <v>916475.716756768</v>
      </c>
      <c r="G1409" s="126" t="str">
        <f>_xlfn.CONCAT(_xlfn.XLOOKUP("[S05_BiomassInstallations][21][EmissionsBiomassSustainabilityNotSatisfied]",Submission!$O:$O,Submission!$H:$N,""))</f>
        <v/>
      </c>
      <c r="H1409" s="126" t="str">
        <f>_xlfn.CONCAT(_xlfn.XLOOKUP("[S05_BiomassInstallations][21][EmissionsFossil]",Submission!$O:$O,Submission!$H:$N,""))</f>
        <v>69768003</v>
      </c>
      <c r="I1409" s="126" t="str">
        <f>_xlfn.CONCAT(_xlfn.XLOOKUP("[S05_BiomassInstallations][21][EnergyZeroRatedBiomass]",Submission!$O:$O,Submission!$H:$N,""))</f>
        <v>7773.80585939428</v>
      </c>
      <c r="J1409" s="126" t="str">
        <f>_xlfn.CONCAT(_xlfn.XLOOKUP("[S05_BiomassInstallations][21][EnergyNonZeroRatedBiomass]",Submission!$O:$O,Submission!$H:$N,""))</f>
        <v/>
      </c>
      <c r="K1409" s="126" t="str">
        <f>_xlfn.CONCAT(_xlfn.XLOOKUP("[S05_BiomassInstallations][21][EnergyFossil]",Submission!$O:$O,Submission!$H:$N,""))</f>
        <v>633969.97251568</v>
      </c>
    </row>
    <row r="1410" spans="1:11" ht="44.4" hidden="1" customHeight="1" outlineLevel="1" x14ac:dyDescent="0.3">
      <c r="A1410" s="12"/>
      <c r="C1410" s="125" t="str">
        <f>_xlfn.CONCAT(_xlfn.XLOOKUP("[S05_BiomassInstallations][22][Annex1Activity]",Submission!$O:$O,Submission!$H:$N,""))</f>
        <v>33 - Manufacture of mineral wool insulation material using glass, rock or slag as specified in Annex I of Directive 2003/87/EC</v>
      </c>
      <c r="D1410" s="128" t="str">
        <f>_xlfn.CONCAT(_xlfn.XLOOKUP("[S05_BiomassInstallations][22][BiomassInstallationCategory]",Submission!$O:$O,Submission!$H:$N,""))</f>
        <v>Category A</v>
      </c>
      <c r="E1410" s="126" t="str">
        <f>_xlfn.CONCAT(_xlfn.XLOOKUP("[S05_BiomassInstallations][22][NumberUsingBiomass]",Submission!$O:$O,Submission!$H:$N,""))</f>
        <v>1</v>
      </c>
      <c r="F1410" s="126" t="str">
        <f>_xlfn.CONCAT(_xlfn.XLOOKUP("[S05_BiomassInstallations][22][EmissionsBiomassSustainabilitySatisfied]",Submission!$O:$O,Submission!$H:$N,""))</f>
        <v>118.541157504</v>
      </c>
      <c r="G1410" s="126" t="str">
        <f>_xlfn.CONCAT(_xlfn.XLOOKUP("[S05_BiomassInstallations][22][EmissionsBiomassSustainabilityNotSatisfied]",Submission!$O:$O,Submission!$H:$N,""))</f>
        <v/>
      </c>
      <c r="H1410" s="126" t="str">
        <f>_xlfn.CONCAT(_xlfn.XLOOKUP("[S05_BiomassInstallations][22][EmissionsFossil]",Submission!$O:$O,Submission!$H:$N,""))</f>
        <v>18422</v>
      </c>
      <c r="I1410" s="126" t="str">
        <f>_xlfn.CONCAT(_xlfn.XLOOKUP("[S05_BiomassInstallations][22][EnergyZeroRatedBiomass]",Submission!$O:$O,Submission!$H:$N,""))</f>
        <v>8.86223998352</v>
      </c>
      <c r="J1410" s="126" t="str">
        <f>_xlfn.CONCAT(_xlfn.XLOOKUP("[S05_BiomassInstallations][22][EnergyNonZeroRatedBiomass]",Submission!$O:$O,Submission!$H:$N,""))</f>
        <v/>
      </c>
      <c r="K1410" s="126" t="str">
        <f>_xlfn.CONCAT(_xlfn.XLOOKUP("[S05_BiomassInstallations][22][EnergyFossil]",Submission!$O:$O,Submission!$H:$N,""))</f>
        <v>260.934585803147</v>
      </c>
    </row>
    <row r="1411" spans="1:11" ht="44.4" hidden="1" customHeight="1" outlineLevel="1" x14ac:dyDescent="0.3">
      <c r="A1411" s="12"/>
      <c r="C1411" s="125" t="str">
        <f>_xlfn.CONCAT(_xlfn.XLOOKUP("[S05_BiomassInstallations][23][Annex1Activity]",Submission!$O:$O,Submission!$H:$N,""))</f>
        <v xml:space="preserve">22 - Production of coke </v>
      </c>
      <c r="D1411" s="128" t="str">
        <f>_xlfn.CONCAT(_xlfn.XLOOKUP("[S05_BiomassInstallations][23][BiomassInstallationCategory]",Submission!$O:$O,Submission!$H:$N,""))</f>
        <v>Category C</v>
      </c>
      <c r="E1411" s="126" t="str">
        <f>_xlfn.CONCAT(_xlfn.XLOOKUP("[S05_BiomassInstallations][23][NumberUsingBiomass]",Submission!$O:$O,Submission!$H:$N,""))</f>
        <v>1</v>
      </c>
      <c r="F1411" s="126" t="str">
        <f>_xlfn.CONCAT(_xlfn.XLOOKUP("[S05_BiomassInstallations][23][EmissionsBiomassSustainabilitySatisfied]",Submission!$O:$O,Submission!$H:$N,""))</f>
        <v>78.2718336</v>
      </c>
      <c r="G1411" s="126" t="str">
        <f>_xlfn.CONCAT(_xlfn.XLOOKUP("[S05_BiomassInstallations][23][EmissionsBiomassSustainabilityNotSatisfied]",Submission!$O:$O,Submission!$H:$N,""))</f>
        <v/>
      </c>
      <c r="H1411" s="126" t="str">
        <f>_xlfn.CONCAT(_xlfn.XLOOKUP("[S05_BiomassInstallations][23][EmissionsFossil]",Submission!$O:$O,Submission!$H:$N,""))</f>
        <v>1897444</v>
      </c>
      <c r="I1411" s="126" t="str">
        <f>_xlfn.CONCAT(_xlfn.XLOOKUP("[S05_BiomassInstallations][23][EnergyZeroRatedBiomass]",Submission!$O:$O,Submission!$H:$N,""))</f>
        <v>0.7452</v>
      </c>
      <c r="J1411" s="126" t="str">
        <f>_xlfn.CONCAT(_xlfn.XLOOKUP("[S05_BiomassInstallations][23][EnergyNonZeroRatedBiomass]",Submission!$O:$O,Submission!$H:$N,""))</f>
        <v/>
      </c>
      <c r="K1411" s="126" t="str">
        <f>_xlfn.CONCAT(_xlfn.XLOOKUP("[S05_BiomassInstallations][23][EnergyFossil]",Submission!$O:$O,Submission!$H:$N,""))</f>
        <v>-2043.65262430297</v>
      </c>
    </row>
    <row r="1412" spans="1:11" ht="44.4" hidden="1" customHeight="1" outlineLevel="1" x14ac:dyDescent="0.3">
      <c r="A1412" s="12"/>
      <c r="C1412" s="125" t="str">
        <f>_xlfn.CONCAT(_xlfn.XLOOKUP("[S05_BiomassInstallations][24][Annex1Activity]",Submission!$O:$O,Submission!$H:$N,""))</f>
        <v>27 - Production of secondary aluminium as specific in Annex I of Directive 2003/87/EC</v>
      </c>
      <c r="D1412" s="128" t="str">
        <f>_xlfn.CONCAT(_xlfn.XLOOKUP("[S05_BiomassInstallations][24][BiomassInstallationCategory]",Submission!$O:$O,Submission!$H:$N,""))</f>
        <v>Category B</v>
      </c>
      <c r="E1412" s="126" t="str">
        <f>_xlfn.CONCAT(_xlfn.XLOOKUP("[S05_BiomassInstallations][24][NumberUsingBiomass]",Submission!$O:$O,Submission!$H:$N,""))</f>
        <v>1</v>
      </c>
      <c r="F1412" s="126" t="str">
        <f>_xlfn.CONCAT(_xlfn.XLOOKUP("[S05_BiomassInstallations][24][EmissionsBiomassSustainabilitySatisfied]",Submission!$O:$O,Submission!$H:$N,""))</f>
        <v>903.2960843807</v>
      </c>
      <c r="G1412" s="126" t="str">
        <f>_xlfn.CONCAT(_xlfn.XLOOKUP("[S05_BiomassInstallations][24][EmissionsBiomassSustainabilityNotSatisfied]",Submission!$O:$O,Submission!$H:$N,""))</f>
        <v/>
      </c>
      <c r="H1412" s="126" t="str">
        <f>_xlfn.CONCAT(_xlfn.XLOOKUP("[S05_BiomassInstallations][24][EmissionsFossil]",Submission!$O:$O,Submission!$H:$N,""))</f>
        <v>260603</v>
      </c>
      <c r="I1412" s="126" t="str">
        <f>_xlfn.CONCAT(_xlfn.XLOOKUP("[S05_BiomassInstallations][24][EnergyZeroRatedBiomass]",Submission!$O:$O,Submission!$H:$N,""))</f>
        <v>0</v>
      </c>
      <c r="J1412" s="126" t="str">
        <f>_xlfn.CONCAT(_xlfn.XLOOKUP("[S05_BiomassInstallations][24][EnergyNonZeroRatedBiomass]",Submission!$O:$O,Submission!$H:$N,""))</f>
        <v/>
      </c>
      <c r="K1412" s="126" t="str">
        <f>_xlfn.CONCAT(_xlfn.XLOOKUP("[S05_BiomassInstallations][24][EnergyFossil]",Submission!$O:$O,Submission!$H:$N,""))</f>
        <v>4520.90759386</v>
      </c>
    </row>
    <row r="1413" spans="1:11" ht="44.4" hidden="1" customHeight="1" outlineLevel="1" x14ac:dyDescent="0.3">
      <c r="A1413" s="12"/>
      <c r="C1413" s="125" t="str">
        <f>_xlfn.CONCAT(_xlfn.XLOOKUP("[S05_BiomassInstallations][25][Annex1Activity]",Submission!$O:$O,Submission!$H:$N,""))</f>
        <v>28 - Production or processing of non-ferrous metals as specified in Annex I of Directive 2003/87/EC</v>
      </c>
      <c r="D1413" s="128" t="str">
        <f>_xlfn.CONCAT(_xlfn.XLOOKUP("[S05_BiomassInstallations][25][BiomassInstallationCategory]",Submission!$O:$O,Submission!$H:$N,""))</f>
        <v>Category A</v>
      </c>
      <c r="E1413" s="126" t="str">
        <f>_xlfn.CONCAT(_xlfn.XLOOKUP("[S05_BiomassInstallations][25][NumberUsingBiomass]",Submission!$O:$O,Submission!$H:$N,""))</f>
        <v>4</v>
      </c>
      <c r="F1413" s="126" t="str">
        <f>_xlfn.CONCAT(_xlfn.XLOOKUP("[S05_BiomassInstallations][25][EmissionsBiomassSustainabilitySatisfied]",Submission!$O:$O,Submission!$H:$N,""))</f>
        <v>1032.70599314412</v>
      </c>
      <c r="G1413" s="126" t="str">
        <f>_xlfn.CONCAT(_xlfn.XLOOKUP("[S05_BiomassInstallations][25][EmissionsBiomassSustainabilityNotSatisfied]",Submission!$O:$O,Submission!$H:$N,""))</f>
        <v/>
      </c>
      <c r="H1413" s="126" t="str">
        <f>_xlfn.CONCAT(_xlfn.XLOOKUP("[S05_BiomassInstallations][25][EmissionsFossil]",Submission!$O:$O,Submission!$H:$N,""))</f>
        <v>52409</v>
      </c>
      <c r="I1413" s="126" t="str">
        <f>_xlfn.CONCAT(_xlfn.XLOOKUP("[S05_BiomassInstallations][25][EnergyZeroRatedBiomass]",Submission!$O:$O,Submission!$H:$N,""))</f>
        <v>11.8533021042</v>
      </c>
      <c r="J1413" s="126" t="str">
        <f>_xlfn.CONCAT(_xlfn.XLOOKUP("[S05_BiomassInstallations][25][EnergyNonZeroRatedBiomass]",Submission!$O:$O,Submission!$H:$N,""))</f>
        <v/>
      </c>
      <c r="K1413" s="126" t="str">
        <f>_xlfn.CONCAT(_xlfn.XLOOKUP("[S05_BiomassInstallations][25][EnergyFossil]",Submission!$O:$O,Submission!$H:$N,""))</f>
        <v>1088.9249711198</v>
      </c>
    </row>
    <row r="1414" spans="1:11" ht="44.4" hidden="1" customHeight="1" outlineLevel="1" x14ac:dyDescent="0.3">
      <c r="A1414" s="12"/>
      <c r="C1414" s="125" t="str">
        <f>_xlfn.CONCAT(_xlfn.XLOOKUP("[S05_BiomassInstallations][26][Annex1Activity]",Submission!$O:$O,Submission!$H:$N,""))</f>
        <v>28 - Production or processing of non-ferrous metals as specified in Annex I of Directive 2003/87/EC</v>
      </c>
      <c r="D1414" s="128" t="str">
        <f>_xlfn.CONCAT(_xlfn.XLOOKUP("[S05_BiomassInstallations][26][BiomassInstallationCategory]",Submission!$O:$O,Submission!$H:$N,""))</f>
        <v>Category B</v>
      </c>
      <c r="E1414" s="126" t="str">
        <f>_xlfn.CONCAT(_xlfn.XLOOKUP("[S05_BiomassInstallations][26][NumberUsingBiomass]",Submission!$O:$O,Submission!$H:$N,""))</f>
        <v>4</v>
      </c>
      <c r="F1414" s="126" t="str">
        <f>_xlfn.CONCAT(_xlfn.XLOOKUP("[S05_BiomassInstallations][26][EmissionsBiomassSustainabilitySatisfied]",Submission!$O:$O,Submission!$H:$N,""))</f>
        <v>37160.4275861335</v>
      </c>
      <c r="G1414" s="126" t="str">
        <f>_xlfn.CONCAT(_xlfn.XLOOKUP("[S05_BiomassInstallations][26][EmissionsBiomassSustainabilityNotSatisfied]",Submission!$O:$O,Submission!$H:$N,""))</f>
        <v/>
      </c>
      <c r="H1414" s="126" t="str">
        <f>_xlfn.CONCAT(_xlfn.XLOOKUP("[S05_BiomassInstallations][26][EmissionsFossil]",Submission!$O:$O,Submission!$H:$N,""))</f>
        <v>501742</v>
      </c>
      <c r="I1414" s="126" t="str">
        <f>_xlfn.CONCAT(_xlfn.XLOOKUP("[S05_BiomassInstallations][26][EnergyZeroRatedBiomass]",Submission!$O:$O,Submission!$H:$N,""))</f>
        <v>922.535643355062</v>
      </c>
      <c r="J1414" s="126" t="str">
        <f>_xlfn.CONCAT(_xlfn.XLOOKUP("[S05_BiomassInstallations][26][EnergyNonZeroRatedBiomass]",Submission!$O:$O,Submission!$H:$N,""))</f>
        <v/>
      </c>
      <c r="K1414" s="126" t="str">
        <f>_xlfn.CONCAT(_xlfn.XLOOKUP("[S05_BiomassInstallations][26][EnergyFossil]",Submission!$O:$O,Submission!$H:$N,""))</f>
        <v>33192.2409085321</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 xml:space="preserve">Für flüssige Biobrennstoffe muss in Deutschland die Nachhaltigkeit gemäß Biomassenstrom-Nachhaltigkeitsverordnung (BioSt-NachV) nachgewiesen werden (vgl. §§ 3 und 13 Emissionshandelsverordnung, EHV 2020). Der Nachweis der Nachhaltigkeit erfolgt über die Datenbank Nabisy der Bundesanstalt für Landwirtschaft und Ernährung (BLE). Die nachhaltige Biomasseerzeugung wird über ein Zertifizierungsverfahren kontrolliert. Dazu werden von der BLE Zertifizierungssysteme (z.B. ISCC System GmbH und REDcert GmbH) und Zertifizierungsstellen (z.B. TÜV Süd, GUTcert) auf Antrag anerkannt. Die BLE überwacht diese auch. Zertifizierungsstellen kontrollieren die Produktionskette nach den Vorgaben eines Zertifizierungssystems. Das Zertifizierungssystem sorgt dafür, dass die Rückverfolgbarkeit der Biomasse bis zur letzten Schnittstelle durch ein Massenbilanzsystem gewährleistet wird. 
Die Vorgaben der Nachhaltigkeitsverordnung gelten für Betriebe der gesamten Erzeugungs-, Verarbeitungs- und Lieferkette bis zum Anlagenbetreiber bzw. Nachweispflichtigen. Schnittstellen sind zertifizierungsbedürftige Betriebe entlang der Herstellungs- und Lieferkette. </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5622427.996</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1</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44</v>
      </c>
      <c r="F1463" s="359"/>
      <c r="G1463" s="364" t="str">
        <f>_xlfn.CONCAT(_xlfn.XLOOKUP("[S05_AircraftMethodFuelConsumption][2][SmallEmittersShare]",Submission!$O:$O,Submission!$H:$N,""))</f>
        <v>0.0454</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4652199</v>
      </c>
      <c r="H1472" s="357"/>
      <c r="I1472" s="357"/>
    </row>
    <row r="1473" spans="1:10" ht="28.95" customHeight="1" x14ac:dyDescent="0.3">
      <c r="C1473" s="354" t="s">
        <v>957</v>
      </c>
      <c r="D1473" s="354"/>
      <c r="E1473" s="354"/>
      <c r="F1473" s="354"/>
      <c r="G1473" s="357" t="str">
        <f>_xlfn.CONCAT(_xlfn.XLOOKUP("[S05_TotalFlightEmissions][2][TotalFlightEmissions]",Submission!$O:$O,Submission!$H:$N,""))</f>
        <v>546011</v>
      </c>
      <c r="H1473" s="357"/>
      <c r="I1473" s="357"/>
    </row>
    <row r="1474" spans="1:10" ht="28.95" customHeight="1" x14ac:dyDescent="0.3">
      <c r="C1474" s="354" t="s">
        <v>958</v>
      </c>
      <c r="D1474" s="354"/>
      <c r="E1474" s="354"/>
      <c r="F1474" s="354"/>
      <c r="G1474" s="357" t="str">
        <f>_xlfn.CONCAT(_xlfn.XLOOKUP("[S05_TotalFlightEmissions][3][TotalFlightEmissions]",Submission!$O:$O,Submission!$H:$N,""))</f>
        <v>14361630</v>
      </c>
      <c r="H1474" s="357"/>
      <c r="I1474" s="357"/>
    </row>
    <row r="1475" spans="1:10" ht="28.95" customHeight="1" x14ac:dyDescent="0.3">
      <c r="C1475" s="354" t="s">
        <v>959</v>
      </c>
      <c r="D1475" s="354"/>
      <c r="E1475" s="354"/>
      <c r="F1475" s="354"/>
      <c r="G1475" s="357" t="str">
        <f>_xlfn.CONCAT(_xlfn.XLOOKUP("[S05_TotalFlightEmissions][4][TotalFlightEmissions]",Submission!$O:$O,Submission!$H:$N,""))</f>
        <v>10943794</v>
      </c>
      <c r="H1475" s="357"/>
      <c r="I1475" s="357"/>
    </row>
    <row r="1476" spans="1:10" ht="28.95" customHeight="1" x14ac:dyDescent="0.3">
      <c r="C1476" s="354" t="s">
        <v>960</v>
      </c>
      <c r="D1476" s="354"/>
      <c r="E1476" s="354"/>
      <c r="F1476" s="354"/>
      <c r="G1476" s="357" t="str">
        <f>_xlfn.CONCAT(_xlfn.XLOOKUP("[S05_TotalFlightEmissions][5][TotalFlightEmissions]",Submission!$O:$O,Submission!$H:$N,""))</f>
        <v>37422</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15</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
      </c>
      <c r="F1486" s="373"/>
      <c r="G1486" s="375" t="str">
        <f>_xlfn.CONCAT(_xlfn.XLOOKUP("[EmissionsBiofuelsSustainabilityNotSatisfied][0][EmissionsBiofuelsSustainabilityNotSatisfied]",Submission!$O:$O,Submission!$H:$N,""))</f>
        <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3</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16</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7</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7</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6</v>
      </c>
      <c r="D1500" s="355"/>
      <c r="E1500" s="355"/>
      <c r="F1500" s="356"/>
      <c r="G1500" s="341" t="str">
        <f>_xlfn.CONCAT(_xlfn.XLOOKUP("[AircraftImprovementReportSubmitted][0][AircraftImprovementReportSubmitted]",Submission!$O:$O,Submission!$H:$N,""))</f>
        <v>5</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16</v>
      </c>
      <c r="G8" s="119"/>
      <c r="H8" s="105" t="str">
        <f>_xlfn.CONCAT(_xlfn.XLOOKUP("[S06_TotalVerifiers][1][CountVerifiersAviation]",Submission!$O:$O,Submission!$H:$N,""))</f>
        <v>4</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0</v>
      </c>
      <c r="G10" s="72" t="str">
        <f>_xlfn.CONCAT(_xlfn.XLOOKUP("[S06_TotalVerifiers][3][MSVerifiersInstallations]",Submission!$O:$O,Submission!$H:$N,""))</f>
        <v/>
      </c>
      <c r="H10" s="105" t="str">
        <f>_xlfn.CONCAT(_xlfn.XLOOKUP("[S06_TotalVerifiers][3][CountVerifiersAviation]",Submission!$O:$O,Submission!$H:$N,""))</f>
        <v/>
      </c>
      <c r="I10" s="47" t="str">
        <f>_xlfn.CONCAT(_xlfn.XLOOKUP("[S06_TotalVerifiers][3][MSVerifiersAviation]",Submission!$O:$O,Submission!$H:$N,""))</f>
        <v>FR</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
      </c>
      <c r="D17" s="413"/>
      <c r="E17" s="413"/>
      <c r="F17" s="413"/>
      <c r="G17" s="414"/>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
      </c>
      <c r="D19" s="413"/>
      <c r="E19" s="413"/>
      <c r="F19" s="413"/>
      <c r="G19" s="414"/>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2" t="str">
        <f>_xlfn.CONCAT(_xlfn.XLOOKUP("[S06_AccredCertVerifiersAnnexI][4][AccredCertScope]",Submission!$O:$O,Submission!$H:$N,""))</f>
        <v/>
      </c>
      <c r="D20" s="413"/>
      <c r="E20" s="413"/>
      <c r="F20" s="413"/>
      <c r="G20" s="414"/>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2" t="str">
        <f>_xlfn.CONCAT(_xlfn.XLOOKUP("[S06_AccredCertVerifiersAnnexI][5][AccredCertScope]",Submission!$O:$O,Submission!$H:$N,""))</f>
        <v/>
      </c>
      <c r="D21" s="413"/>
      <c r="E21" s="413"/>
      <c r="F21" s="413"/>
      <c r="G21" s="414"/>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2" t="str">
        <f>_xlfn.CONCAT(_xlfn.XLOOKUP("[S06_AccredCertVerifiersAnnexI][6][AccredCertScope]",Submission!$O:$O,Submission!$H:$N,""))</f>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Yes</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Yes</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Yes</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2</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1</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4</v>
      </c>
      <c r="H67" s="105" t="str">
        <f>_xlfn.CONCAT(_xlfn.XLOOKUP("[S06_ApplicationInformationExchangeRequirements4][1][NumberOfIssuesResolved]",Submission!$O:$O,Submission!$H:$N,""))</f>
        <v>4</v>
      </c>
      <c r="I67" s="105" t="str">
        <f>_xlfn.CONCAT(_xlfn.XLOOKUP("[S06_ApplicationInformationExchangeRequirements4][1][NumberOfPriorIssuesResolved]",Submission!$O:$O,Submission!$H:$N,""))</f>
        <v>11</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11</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9</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1</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No</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
      </c>
      <c r="D133" s="347"/>
      <c r="E133" s="281" t="str">
        <f>_xlfn.CONCAT(_xlfn.XLOOKUP("[S06_InstallationsVerificationReportsIssueDetail]["&amp;1&amp;"][TypeOfIssue]",Submission!$O:$O,Submission!$H:$N,""))</f>
        <v/>
      </c>
      <c r="F133" s="347"/>
      <c r="G133" s="105" t="str">
        <f>_xlfn.CONCAT(_xlfn.XLOOKUP("[S06_InstallationsVerificationReportsIssueDetail]["&amp;1&amp;"][NumberOfInstallations]",Submission!$O:$O,Submission!$H:$N,""))</f>
        <v/>
      </c>
      <c r="H133" s="108" t="str">
        <f>_xlfn.CONCAT(_xlfn.XLOOKUP("[S06_InstallationsVerificationReportsIssueDetail]["&amp;1&amp;"][NumberOfIssues]",Submission!$O:$O,Submission!$H:$N,""))</f>
        <v/>
      </c>
      <c r="I133" s="183" t="str">
        <f>_xlfn.CONCAT(_xlfn.XLOOKUP("[S06_InstallationsVerificationReportsIssueDetail]["&amp;1&amp;"][ShareOfReportsConservativeEstimate]",Submission!$O:$O,Submission!$H:$N,""))</f>
        <v/>
      </c>
    </row>
    <row r="134" spans="1:9" ht="26.4" customHeight="1" x14ac:dyDescent="0.3">
      <c r="A134" s="13"/>
      <c r="C134" s="281" t="str">
        <f>_xlfn.CONCAT(_xlfn.XLOOKUP("[S06_InstallationsVerificationReportsIssueDetail]["&amp;1+ROW(B134)-ROW($B$133)&amp;"][AnnexIActivity]",Submission!$O:$O,Submission!$H:$N,""))</f>
        <v/>
      </c>
      <c r="D134" s="347"/>
      <c r="E134" s="281" t="str">
        <f>_xlfn.CONCAT(_xlfn.XLOOKUP("[S06_InstallationsVerificationReportsIssueDetail]["&amp;1+ROW(B134)-ROW($B$133)&amp;"][TypeOfIssue]",Submission!$O:$O,Submission!$H:$N,""))</f>
        <v/>
      </c>
      <c r="F134" s="347"/>
      <c r="G134" s="105" t="str">
        <f>_xlfn.CONCAT(_xlfn.XLOOKUP("[S06_InstallationsVerificationReportsIssueDetail]["&amp;1+ROW(B134)-ROW($B$133)&amp;"][NumberOfInstallations]",Submission!$O:$O,Submission!$H:$N,""))</f>
        <v/>
      </c>
      <c r="H134" s="108" t="str">
        <f>_xlfn.CONCAT(_xlfn.XLOOKUP("[S06_InstallationsVerificationReportsIssueDetail]["&amp;1+ROW(B134)-ROW($B$133)&amp;"][NumberOfIssues]",Submission!$O:$O,Submission!$H:$N,""))</f>
        <v/>
      </c>
      <c r="I134" s="183" t="str">
        <f>_xlfn.CONCAT(_xlfn.XLOOKUP("[S06_InstallationsVerificationReportsIssueDetail]["&amp;1+ROW(B134)-ROW($B$133)&amp;"][ShareOfReportsConservativeEstimate]",Submission!$O:$O,Submission!$H:$N,""))</f>
        <v/>
      </c>
    </row>
    <row r="135" spans="1:9" ht="26.4" customHeight="1" x14ac:dyDescent="0.3">
      <c r="A135" s="13"/>
      <c r="C135" s="281" t="str">
        <f>_xlfn.CONCAT(_xlfn.XLOOKUP("[S06_InstallationsVerificationReportsIssueDetail]["&amp;1+ROW(B135)-ROW($B$133)&amp;"][AnnexIActivity]",Submission!$O:$O,Submission!$H:$N,""))</f>
        <v/>
      </c>
      <c r="D135" s="347"/>
      <c r="E135" s="281" t="str">
        <f>_xlfn.CONCAT(_xlfn.XLOOKUP("[S06_InstallationsVerificationReportsIssueDetail]["&amp;1+ROW(B135)-ROW($B$133)&amp;"][TypeOfIssue]",Submission!$O:$O,Submission!$H:$N,""))</f>
        <v/>
      </c>
      <c r="F135" s="347"/>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3" t="str">
        <f>_xlfn.CONCAT(_xlfn.XLOOKUP("[S06_InstallationsVerificationReportsIssueDetail]["&amp;1+ROW(B135)-ROW($B$133)&amp;"][ShareOfReportsConservativeEstimate]",Submission!$O:$O,Submission!$H:$N,""))</f>
        <v/>
      </c>
    </row>
    <row r="136" spans="1:9" ht="26.4" customHeight="1" x14ac:dyDescent="0.3">
      <c r="A136" s="13"/>
      <c r="C136" s="281" t="str">
        <f>_xlfn.CONCAT(_xlfn.XLOOKUP("[S06_InstallationsVerificationReportsIssueDetail]["&amp;1+ROW(B136)-ROW($B$133)&amp;"][AnnexIActivity]",Submission!$O:$O,Submission!$H:$N,""))</f>
        <v/>
      </c>
      <c r="D136" s="347"/>
      <c r="E136" s="281" t="str">
        <f>_xlfn.CONCAT(_xlfn.XLOOKUP("[S06_InstallationsVerificationReportsIssueDetail]["&amp;1+ROW(B136)-ROW($B$133)&amp;"][TypeOfIssue]",Submission!$O:$O,Submission!$H:$N,""))</f>
        <v/>
      </c>
      <c r="F136" s="347"/>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3" t="str">
        <f>_xlfn.CONCAT(_xlfn.XLOOKUP("[S06_InstallationsVerificationReportsIssueDetail]["&amp;1+ROW(B136)-ROW($B$133)&amp;"][ShareOfReportsConservativeEstimate]",Submission!$O:$O,Submission!$H:$N,""))</f>
        <v/>
      </c>
    </row>
    <row r="137" spans="1:9" ht="26.4" customHeight="1" x14ac:dyDescent="0.3">
      <c r="A137" s="13"/>
      <c r="C137" s="281" t="str">
        <f>_xlfn.CONCAT(_xlfn.XLOOKUP("[S06_InstallationsVerificationReportsIssueDetail]["&amp;1+ROW(B137)-ROW($B$133)&amp;"][AnnexIActivity]",Submission!$O:$O,Submission!$H:$N,""))</f>
        <v/>
      </c>
      <c r="D137" s="347"/>
      <c r="E137" s="281" t="str">
        <f>_xlfn.CONCAT(_xlfn.XLOOKUP("[S06_InstallationsVerificationReportsIssueDetail]["&amp;1+ROW(B137)-ROW($B$133)&amp;"][TypeOfIssue]",Submission!$O:$O,Submission!$H:$N,""))</f>
        <v/>
      </c>
      <c r="F137" s="347"/>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3" t="str">
        <f>_xlfn.CONCAT(_xlfn.XLOOKUP("[S06_InstallationsVerificationReportsIssueDetail]["&amp;1+ROW(B137)-ROW($B$133)&amp;"][ShareOfReportsConservativeEstimate]",Submission!$O:$O,Submission!$H:$N,""))</f>
        <v/>
      </c>
    </row>
    <row r="138" spans="1:9" ht="26.4" customHeight="1" x14ac:dyDescent="0.3">
      <c r="A138" s="13"/>
      <c r="C138" s="281" t="str">
        <f>_xlfn.CONCAT(_xlfn.XLOOKUP("[S06_InstallationsVerificationReportsIssueDetail]["&amp;1+ROW(B138)-ROW($B$133)&amp;"][AnnexIActivity]",Submission!$O:$O,Submission!$H:$N,""))</f>
        <v/>
      </c>
      <c r="D138" s="347"/>
      <c r="E138" s="281" t="str">
        <f>_xlfn.CONCAT(_xlfn.XLOOKUP("[S06_InstallationsVerificationReportsIssueDetail]["&amp;1+ROW(B138)-ROW($B$133)&amp;"][TypeOfIssue]",Submission!$O:$O,Submission!$H:$N,""))</f>
        <v/>
      </c>
      <c r="F138" s="347"/>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3" t="str">
        <f>_xlfn.CONCAT(_xlfn.XLOOKUP("[S06_InstallationsVerificationReportsIssueDetail]["&amp;1+ROW(B138)-ROW($B$133)&amp;"][ShareOfReportsConservativeEstimate]",Submission!$O:$O,Submission!$H:$N,""))</f>
        <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0</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
      </c>
      <c r="H232" s="251" t="str">
        <f>_xlfn.CONCAT(_xlfn.XLOOKUP("[S06_InstallationsVerificationReportChecksDetail1][4][FurtherInformation]",Submission!$O:$O,Submission!$H:$N,""))</f>
        <v>Offen, da Prüfung nicht abgeschlossen, aber vorgesehen, u.a.: Abgleich mit historischen Daten, mit bekannten Berechnungsfaktoren aus der Vergangenheit, mit Leistungs- bzw. Produktionsdaten soweit bekannt</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Offen, da Prüfung nicht abgeschlossen, aber vorgesehen.</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Offen, da Prüfung nicht abgeschlossen (das Gesetz sieht Schätzung von Emissionsdaten und Bußgelder für fehlerhafte Emissionsberichte vor)</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Offen, da Prüfung nicht abgeschlossen; erfahrungsgemäß wird im Rahmen der Berichtsprüfung auch Bedarf für Änderungen der Überwachungspläne festgestellt</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Yes</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46</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1</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No</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
      </c>
      <c r="D332" s="413"/>
      <c r="E332" s="41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29" t="str">
        <f>_xlfn.CONCAT(_xlfn.XLOOKUP("[S06_AircraftOperatorsVerificationReportIssuesEmissions][1][ShareOfReportsConservativeEstimate]",Submission!$O:$O,Submission!$H:$N,""))</f>
        <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No</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100% (detailierte Analyse über ein IT-Tool)</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0</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Anhörung und damit Anpassung der gemeldeten Emissionen</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Yes</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11</v>
      </c>
      <c r="E383" s="356"/>
      <c r="F383" s="284" t="str">
        <f>_xlfn.CONCAT(_xlfn.XLOOKUP("[S06_VirtualVisitsAircraftDetails][1][AuthorityApproval]",Submission!$O:$O,Submission!$H:$N,""))</f>
        <v>Generic authorisation under Article 34a(4) of Commission Regulation 2018/2067</v>
      </c>
      <c r="G383" s="285"/>
      <c r="H383" s="284" t="str">
        <f>_xlfn.CONCAT(_xlfn.XLOOKUP("[S06_VirtualVisitsAircraftDetails][1][ConfirmationConditionsMet]",Submission!$O:$O,Submission!$H:$N,""))</f>
        <v>Noch nicht geprüft</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